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830" activeTab="0"/>
  </bookViews>
  <sheets>
    <sheet name="递补资格复审结果" sheetId="1" r:id="rId1"/>
  </sheets>
  <definedNames/>
  <calcPr fullCalcOnLoad="1"/>
</workbook>
</file>

<file path=xl/sharedStrings.xml><?xml version="1.0" encoding="utf-8"?>
<sst xmlns="http://schemas.openxmlformats.org/spreadsheetml/2006/main" count="232" uniqueCount="16">
  <si>
    <t>政策性加分</t>
  </si>
  <si>
    <t>公共知识成绩</t>
  </si>
  <si>
    <t>专业知识成绩折合</t>
  </si>
  <si>
    <t>专业知识成绩</t>
  </si>
  <si>
    <t>公共知识成绩折合</t>
  </si>
  <si>
    <t>职位编码</t>
  </si>
  <si>
    <t>折合后笔试总成绩</t>
  </si>
  <si>
    <t>姓名</t>
  </si>
  <si>
    <t>准考证号</t>
  </si>
  <si>
    <t>笔试总成绩排名</t>
  </si>
  <si>
    <t>递补资格复审结果</t>
  </si>
  <si>
    <t>大竹县2016年部分事业单位招聘工作人员递补资格复审结果</t>
  </si>
  <si>
    <t>自动放弃</t>
  </si>
  <si>
    <t>不合格</t>
  </si>
  <si>
    <t>合格</t>
  </si>
  <si>
    <t>附表：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</si>
</sst>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_ "/>
  </numFmts>
  <fonts count="26"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2.65"/>
      <color indexed="12"/>
      <name val="宋体"/>
      <family val="0"/>
    </font>
    <font>
      <u val="single"/>
      <sz val="12.65"/>
      <color indexed="36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0"/>
      <name val="方正仿宋简体"/>
      <family val="4"/>
    </font>
    <font>
      <sz val="10"/>
      <color indexed="8"/>
      <name val="方正仿宋简体"/>
      <family val="4"/>
    </font>
    <font>
      <sz val="10"/>
      <color indexed="8"/>
      <name val="仿宋_GB2312"/>
      <family val="3"/>
    </font>
    <font>
      <sz val="18"/>
      <color indexed="8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/>
    </xf>
    <xf numFmtId="184" fontId="23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0" fillId="0" borderId="10" xfId="0" applyNumberForma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184" fontId="22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184" fontId="23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184" fontId="23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58" fontId="0" fillId="0" borderId="10" xfId="0" applyNumberForma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2"/>
  <sheetViews>
    <sheetView tabSelected="1" zoomScale="130" zoomScaleNormal="130" workbookViewId="0" topLeftCell="A1">
      <selection activeCell="A2" sqref="A2:K2"/>
    </sheetView>
  </sheetViews>
  <sheetFormatPr defaultColWidth="9.00390625" defaultRowHeight="13.5"/>
  <cols>
    <col min="1" max="1" width="9.00390625" style="5" customWidth="1"/>
    <col min="2" max="2" width="8.125" style="5" customWidth="1"/>
    <col min="3" max="3" width="13.625" style="17" customWidth="1"/>
    <col min="4" max="4" width="8.125" style="5" customWidth="1"/>
    <col min="5" max="5" width="8.00390625" style="5" customWidth="1"/>
    <col min="6" max="6" width="7.75390625" style="5" customWidth="1"/>
    <col min="7" max="7" width="8.00390625" style="5" customWidth="1"/>
    <col min="8" max="8" width="5.75390625" style="5" customWidth="1"/>
    <col min="9" max="10" width="9.125" style="5" customWidth="1"/>
    <col min="11" max="11" width="9.25390625" style="5" customWidth="1"/>
    <col min="12" max="16384" width="9.00390625" style="5" customWidth="1"/>
  </cols>
  <sheetData>
    <row r="1" spans="1:11" ht="16.5" customHeight="1">
      <c r="A1" s="20" t="s">
        <v>15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42.75" customHeight="1">
      <c r="A2" s="19" t="s">
        <v>11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42" customHeight="1">
      <c r="A3" s="3" t="s">
        <v>7</v>
      </c>
      <c r="B3" s="3" t="s">
        <v>5</v>
      </c>
      <c r="C3" s="3" t="s">
        <v>8</v>
      </c>
      <c r="D3" s="4" t="s">
        <v>1</v>
      </c>
      <c r="E3" s="4" t="s">
        <v>4</v>
      </c>
      <c r="F3" s="4" t="s">
        <v>3</v>
      </c>
      <c r="G3" s="4" t="s">
        <v>2</v>
      </c>
      <c r="H3" s="4" t="s">
        <v>0</v>
      </c>
      <c r="I3" s="4" t="s">
        <v>6</v>
      </c>
      <c r="J3" s="4" t="s">
        <v>9</v>
      </c>
      <c r="K3" s="16" t="s">
        <v>10</v>
      </c>
    </row>
    <row r="4" spans="1:11" s="12" customFormat="1" ht="18" customHeight="1">
      <c r="A4" s="6" t="str">
        <f>"唐玲"</f>
        <v>唐玲</v>
      </c>
      <c r="B4" s="6" t="str">
        <f>"600002"</f>
        <v>600002</v>
      </c>
      <c r="C4" s="7" t="str">
        <f>"5860406010419"</f>
        <v>5860406010419</v>
      </c>
      <c r="D4" s="2">
        <v>70</v>
      </c>
      <c r="E4" s="8">
        <f>(D4+H4)*0.5</f>
        <v>35</v>
      </c>
      <c r="F4" s="2"/>
      <c r="G4" s="2"/>
      <c r="H4" s="9"/>
      <c r="I4" s="10">
        <v>35</v>
      </c>
      <c r="J4" s="11">
        <v>13</v>
      </c>
      <c r="K4" s="18" t="s">
        <v>12</v>
      </c>
    </row>
    <row r="5" spans="1:11" s="12" customFormat="1" ht="18" customHeight="1">
      <c r="A5" s="6" t="str">
        <f>"龙秋"</f>
        <v>龙秋</v>
      </c>
      <c r="B5" s="6" t="str">
        <f>"600002"</f>
        <v>600002</v>
      </c>
      <c r="C5" s="7" t="str">
        <f>"5860406010421"</f>
        <v>5860406010421</v>
      </c>
      <c r="D5" s="2">
        <v>70</v>
      </c>
      <c r="E5" s="8">
        <f>(D5+H5)*0.5</f>
        <v>35</v>
      </c>
      <c r="F5" s="2"/>
      <c r="G5" s="2"/>
      <c r="H5" s="9"/>
      <c r="I5" s="10">
        <v>35</v>
      </c>
      <c r="J5" s="11">
        <v>13</v>
      </c>
      <c r="K5" s="18" t="s">
        <v>12</v>
      </c>
    </row>
    <row r="6" spans="1:11" s="12" customFormat="1" ht="18" customHeight="1">
      <c r="A6" s="6" t="str">
        <f>"焦向荣"</f>
        <v>焦向荣</v>
      </c>
      <c r="B6" s="6" t="str">
        <f>"600002"</f>
        <v>600002</v>
      </c>
      <c r="C6" s="7" t="str">
        <f>"5860406010508"</f>
        <v>5860406010508</v>
      </c>
      <c r="D6" s="2">
        <v>70</v>
      </c>
      <c r="E6" s="8">
        <f>(D6+H6)*0.5</f>
        <v>35</v>
      </c>
      <c r="F6" s="2"/>
      <c r="G6" s="2"/>
      <c r="H6" s="9"/>
      <c r="I6" s="10">
        <v>35</v>
      </c>
      <c r="J6" s="11">
        <v>13</v>
      </c>
      <c r="K6" s="18" t="s">
        <v>12</v>
      </c>
    </row>
    <row r="7" spans="1:11" s="12" customFormat="1" ht="18" customHeight="1">
      <c r="A7" s="6" t="str">
        <f>"张姣"</f>
        <v>张姣</v>
      </c>
      <c r="B7" s="6" t="str">
        <f aca="true" t="shared" si="0" ref="B7:B14">"600004"</f>
        <v>600004</v>
      </c>
      <c r="C7" s="7" t="str">
        <f>"5860406010630"</f>
        <v>5860406010630</v>
      </c>
      <c r="D7" s="2">
        <v>72</v>
      </c>
      <c r="E7" s="8">
        <f aca="true" t="shared" si="1" ref="E7:E14">(D7+H7)*0.5</f>
        <v>36</v>
      </c>
      <c r="F7" s="2"/>
      <c r="G7" s="2"/>
      <c r="H7" s="9"/>
      <c r="I7" s="10">
        <v>36</v>
      </c>
      <c r="J7" s="11">
        <v>19</v>
      </c>
      <c r="K7" s="18" t="s">
        <v>12</v>
      </c>
    </row>
    <row r="8" spans="1:11" s="12" customFormat="1" ht="18" customHeight="1">
      <c r="A8" s="6" t="str">
        <f>"文明婕"</f>
        <v>文明婕</v>
      </c>
      <c r="B8" s="6" t="str">
        <f t="shared" si="0"/>
        <v>600004</v>
      </c>
      <c r="C8" s="7" t="str">
        <f>"5860406010705"</f>
        <v>5860406010705</v>
      </c>
      <c r="D8" s="2">
        <v>72</v>
      </c>
      <c r="E8" s="8">
        <f t="shared" si="1"/>
        <v>36</v>
      </c>
      <c r="F8" s="2"/>
      <c r="G8" s="2"/>
      <c r="H8" s="9"/>
      <c r="I8" s="10">
        <v>36</v>
      </c>
      <c r="J8" s="11">
        <v>19</v>
      </c>
      <c r="K8" s="18" t="s">
        <v>14</v>
      </c>
    </row>
    <row r="9" spans="1:11" s="12" customFormat="1" ht="18" customHeight="1">
      <c r="A9" s="6" t="str">
        <f>"王万千"</f>
        <v>王万千</v>
      </c>
      <c r="B9" s="6" t="str">
        <f t="shared" si="0"/>
        <v>600004</v>
      </c>
      <c r="C9" s="7" t="str">
        <f>"5860406010707"</f>
        <v>5860406010707</v>
      </c>
      <c r="D9" s="2">
        <v>72</v>
      </c>
      <c r="E9" s="8">
        <f t="shared" si="1"/>
        <v>36</v>
      </c>
      <c r="F9" s="2"/>
      <c r="G9" s="2"/>
      <c r="H9" s="9"/>
      <c r="I9" s="10">
        <v>36</v>
      </c>
      <c r="J9" s="11">
        <v>19</v>
      </c>
      <c r="K9" s="18" t="s">
        <v>12</v>
      </c>
    </row>
    <row r="10" spans="1:11" s="12" customFormat="1" ht="18" customHeight="1">
      <c r="A10" s="6" t="str">
        <f>"张娜"</f>
        <v>张娜</v>
      </c>
      <c r="B10" s="6" t="str">
        <f t="shared" si="0"/>
        <v>600004</v>
      </c>
      <c r="C10" s="7" t="str">
        <f>"5860406010724"</f>
        <v>5860406010724</v>
      </c>
      <c r="D10" s="2">
        <v>72</v>
      </c>
      <c r="E10" s="8">
        <f t="shared" si="1"/>
        <v>36</v>
      </c>
      <c r="F10" s="2"/>
      <c r="G10" s="2"/>
      <c r="H10" s="9"/>
      <c r="I10" s="10">
        <v>36</v>
      </c>
      <c r="J10" s="11">
        <v>19</v>
      </c>
      <c r="K10" s="18" t="s">
        <v>12</v>
      </c>
    </row>
    <row r="11" spans="1:11" s="12" customFormat="1" ht="18" customHeight="1">
      <c r="A11" s="6" t="str">
        <f>"刘欣"</f>
        <v>刘欣</v>
      </c>
      <c r="B11" s="6" t="str">
        <f t="shared" si="0"/>
        <v>600004</v>
      </c>
      <c r="C11" s="7" t="str">
        <f>"5860406010813"</f>
        <v>5860406010813</v>
      </c>
      <c r="D11" s="2">
        <v>72</v>
      </c>
      <c r="E11" s="8">
        <f t="shared" si="1"/>
        <v>36</v>
      </c>
      <c r="F11" s="2"/>
      <c r="G11" s="2"/>
      <c r="H11" s="9"/>
      <c r="I11" s="10">
        <v>36</v>
      </c>
      <c r="J11" s="11">
        <v>19</v>
      </c>
      <c r="K11" s="18" t="s">
        <v>12</v>
      </c>
    </row>
    <row r="12" spans="1:11" s="12" customFormat="1" ht="18" customHeight="1">
      <c r="A12" s="6" t="str">
        <f>"杨雨琳"</f>
        <v>杨雨琳</v>
      </c>
      <c r="B12" s="6" t="str">
        <f t="shared" si="0"/>
        <v>600004</v>
      </c>
      <c r="C12" s="7" t="str">
        <f>"5860406010818"</f>
        <v>5860406010818</v>
      </c>
      <c r="D12" s="2">
        <v>72</v>
      </c>
      <c r="E12" s="8">
        <f t="shared" si="1"/>
        <v>36</v>
      </c>
      <c r="F12" s="2"/>
      <c r="G12" s="2"/>
      <c r="H12" s="9"/>
      <c r="I12" s="10">
        <v>36</v>
      </c>
      <c r="J12" s="11">
        <v>19</v>
      </c>
      <c r="K12" s="18" t="s">
        <v>14</v>
      </c>
    </row>
    <row r="13" spans="1:11" s="12" customFormat="1" ht="18" customHeight="1">
      <c r="A13" s="6" t="str">
        <f>"杨欢"</f>
        <v>杨欢</v>
      </c>
      <c r="B13" s="6" t="str">
        <f t="shared" si="0"/>
        <v>600004</v>
      </c>
      <c r="C13" s="7" t="str">
        <f>"5860406010825"</f>
        <v>5860406010825</v>
      </c>
      <c r="D13" s="2">
        <v>72</v>
      </c>
      <c r="E13" s="8">
        <f t="shared" si="1"/>
        <v>36</v>
      </c>
      <c r="F13" s="2"/>
      <c r="G13" s="2"/>
      <c r="H13" s="9"/>
      <c r="I13" s="10">
        <v>36</v>
      </c>
      <c r="J13" s="11">
        <v>19</v>
      </c>
      <c r="K13" s="18" t="s">
        <v>14</v>
      </c>
    </row>
    <row r="14" spans="1:11" s="12" customFormat="1" ht="18" customHeight="1">
      <c r="A14" s="6" t="str">
        <f>"徐敏"</f>
        <v>徐敏</v>
      </c>
      <c r="B14" s="6" t="str">
        <f t="shared" si="0"/>
        <v>600004</v>
      </c>
      <c r="C14" s="7" t="str">
        <f>"5860406011004"</f>
        <v>5860406011004</v>
      </c>
      <c r="D14" s="2">
        <v>72</v>
      </c>
      <c r="E14" s="8">
        <f t="shared" si="1"/>
        <v>36</v>
      </c>
      <c r="F14" s="2"/>
      <c r="G14" s="2"/>
      <c r="H14" s="9"/>
      <c r="I14" s="10">
        <v>36</v>
      </c>
      <c r="J14" s="11">
        <v>19</v>
      </c>
      <c r="K14" s="18" t="s">
        <v>14</v>
      </c>
    </row>
    <row r="15" spans="1:11" s="12" customFormat="1" ht="18" customHeight="1">
      <c r="A15" s="6" t="str">
        <f>"陈鹏"</f>
        <v>陈鹏</v>
      </c>
      <c r="B15" s="6" t="str">
        <f>"600005"</f>
        <v>600005</v>
      </c>
      <c r="C15" s="7" t="str">
        <f>"5860406011010"</f>
        <v>5860406011010</v>
      </c>
      <c r="D15" s="2">
        <v>72</v>
      </c>
      <c r="E15" s="8">
        <f aca="true" t="shared" si="2" ref="E15:E31">(D15+H15)*0.5</f>
        <v>36</v>
      </c>
      <c r="F15" s="2"/>
      <c r="G15" s="2"/>
      <c r="H15" s="9"/>
      <c r="I15" s="10">
        <v>36</v>
      </c>
      <c r="J15" s="11">
        <v>4</v>
      </c>
      <c r="K15" s="18" t="s">
        <v>14</v>
      </c>
    </row>
    <row r="16" spans="1:11" s="12" customFormat="1" ht="18" customHeight="1">
      <c r="A16" s="6" t="str">
        <f>"廖位莉"</f>
        <v>廖位莉</v>
      </c>
      <c r="B16" s="6" t="str">
        <f>"600006"</f>
        <v>600006</v>
      </c>
      <c r="C16" s="7" t="str">
        <f>"5860406011023"</f>
        <v>5860406011023</v>
      </c>
      <c r="D16" s="2">
        <v>65</v>
      </c>
      <c r="E16" s="8">
        <f t="shared" si="2"/>
        <v>32.5</v>
      </c>
      <c r="F16" s="2"/>
      <c r="G16" s="2"/>
      <c r="H16" s="9"/>
      <c r="I16" s="10">
        <v>32.5</v>
      </c>
      <c r="J16" s="11">
        <v>7</v>
      </c>
      <c r="K16" s="18" t="s">
        <v>14</v>
      </c>
    </row>
    <row r="17" spans="1:11" s="12" customFormat="1" ht="18" customHeight="1">
      <c r="A17" s="6" t="str">
        <f>"侯正娟"</f>
        <v>侯正娟</v>
      </c>
      <c r="B17" s="6" t="str">
        <f>"600011"</f>
        <v>600011</v>
      </c>
      <c r="C17" s="7" t="str">
        <f>"5860406011227"</f>
        <v>5860406011227</v>
      </c>
      <c r="D17" s="2">
        <v>65</v>
      </c>
      <c r="E17" s="8">
        <f t="shared" si="2"/>
        <v>32.5</v>
      </c>
      <c r="F17" s="2"/>
      <c r="G17" s="2"/>
      <c r="H17" s="9"/>
      <c r="I17" s="10">
        <v>32.5</v>
      </c>
      <c r="J17" s="11">
        <v>4</v>
      </c>
      <c r="K17" s="18" t="s">
        <v>14</v>
      </c>
    </row>
    <row r="18" spans="1:11" s="12" customFormat="1" ht="18" customHeight="1">
      <c r="A18" s="6" t="str">
        <f>"潘江林"</f>
        <v>潘江林</v>
      </c>
      <c r="B18" s="6" t="str">
        <f>"600015"</f>
        <v>600015</v>
      </c>
      <c r="C18" s="7" t="str">
        <f>"5860406011413"</f>
        <v>5860406011413</v>
      </c>
      <c r="D18" s="2">
        <v>53</v>
      </c>
      <c r="E18" s="8">
        <f t="shared" si="2"/>
        <v>26.5</v>
      </c>
      <c r="F18" s="2"/>
      <c r="G18" s="2"/>
      <c r="H18" s="9"/>
      <c r="I18" s="10">
        <v>26.5</v>
      </c>
      <c r="J18" s="11">
        <v>4</v>
      </c>
      <c r="K18" s="18" t="s">
        <v>12</v>
      </c>
    </row>
    <row r="19" spans="1:11" s="12" customFormat="1" ht="18" customHeight="1">
      <c r="A19" s="6" t="str">
        <f>"黎益民"</f>
        <v>黎益民</v>
      </c>
      <c r="B19" s="6" t="str">
        <f>"600016"</f>
        <v>600016</v>
      </c>
      <c r="C19" s="7" t="str">
        <f>"5860406011419"</f>
        <v>5860406011419</v>
      </c>
      <c r="D19" s="2">
        <v>61</v>
      </c>
      <c r="E19" s="8">
        <f t="shared" si="2"/>
        <v>30.5</v>
      </c>
      <c r="F19" s="2"/>
      <c r="G19" s="2"/>
      <c r="H19" s="9"/>
      <c r="I19" s="10">
        <v>30.5</v>
      </c>
      <c r="J19" s="11">
        <v>4</v>
      </c>
      <c r="K19" s="18" t="s">
        <v>12</v>
      </c>
    </row>
    <row r="20" spans="1:11" s="12" customFormat="1" ht="18" customHeight="1">
      <c r="A20" s="6" t="str">
        <f>"邢周勇"</f>
        <v>邢周勇</v>
      </c>
      <c r="B20" s="6" t="str">
        <f>"600016"</f>
        <v>600016</v>
      </c>
      <c r="C20" s="7" t="str">
        <f>"5860406011420"</f>
        <v>5860406011420</v>
      </c>
      <c r="D20" s="2">
        <v>61</v>
      </c>
      <c r="E20" s="8">
        <f t="shared" si="2"/>
        <v>30.5</v>
      </c>
      <c r="F20" s="2"/>
      <c r="G20" s="2"/>
      <c r="H20" s="9"/>
      <c r="I20" s="10">
        <v>30.5</v>
      </c>
      <c r="J20" s="11">
        <v>4</v>
      </c>
      <c r="K20" s="18" t="s">
        <v>12</v>
      </c>
    </row>
    <row r="21" spans="1:11" s="12" customFormat="1" ht="18" customHeight="1">
      <c r="A21" s="6" t="str">
        <f>"唐惠玲"</f>
        <v>唐惠玲</v>
      </c>
      <c r="B21" s="6" t="str">
        <f>"600017"</f>
        <v>600017</v>
      </c>
      <c r="C21" s="7" t="str">
        <f>"5860406011514"</f>
        <v>5860406011514</v>
      </c>
      <c r="D21" s="2">
        <v>48</v>
      </c>
      <c r="E21" s="8">
        <f t="shared" si="2"/>
        <v>24</v>
      </c>
      <c r="F21" s="2"/>
      <c r="G21" s="2"/>
      <c r="H21" s="9"/>
      <c r="I21" s="10">
        <v>24</v>
      </c>
      <c r="J21" s="11">
        <v>26</v>
      </c>
      <c r="K21" s="18" t="s">
        <v>12</v>
      </c>
    </row>
    <row r="22" spans="1:11" s="12" customFormat="1" ht="18" customHeight="1">
      <c r="A22" s="6" t="str">
        <f>"马经纬"</f>
        <v>马经纬</v>
      </c>
      <c r="B22" s="6" t="str">
        <f>"600018"</f>
        <v>600018</v>
      </c>
      <c r="C22" s="7" t="str">
        <f>"5860406011614"</f>
        <v>5860406011614</v>
      </c>
      <c r="D22" s="2">
        <v>52</v>
      </c>
      <c r="E22" s="8">
        <f t="shared" si="2"/>
        <v>26</v>
      </c>
      <c r="F22" s="2"/>
      <c r="G22" s="2"/>
      <c r="H22" s="9"/>
      <c r="I22" s="10">
        <v>26</v>
      </c>
      <c r="J22" s="11">
        <v>19</v>
      </c>
      <c r="K22" s="18" t="s">
        <v>14</v>
      </c>
    </row>
    <row r="23" spans="1:11" s="12" customFormat="1" ht="18" customHeight="1">
      <c r="A23" s="6" t="str">
        <f>"朱琎"</f>
        <v>朱琎</v>
      </c>
      <c r="B23" s="6" t="str">
        <f>"600023"</f>
        <v>600023</v>
      </c>
      <c r="C23" s="7" t="str">
        <f>"5860406011711"</f>
        <v>5860406011711</v>
      </c>
      <c r="D23" s="2">
        <v>68</v>
      </c>
      <c r="E23" s="8">
        <f t="shared" si="2"/>
        <v>34</v>
      </c>
      <c r="F23" s="2"/>
      <c r="G23" s="2"/>
      <c r="H23" s="9"/>
      <c r="I23" s="10">
        <v>34</v>
      </c>
      <c r="J23" s="11">
        <v>19</v>
      </c>
      <c r="K23" s="18" t="s">
        <v>14</v>
      </c>
    </row>
    <row r="24" spans="1:11" s="12" customFormat="1" ht="18" customHeight="1">
      <c r="A24" s="6" t="str">
        <f>"刘瑶"</f>
        <v>刘瑶</v>
      </c>
      <c r="B24" s="6" t="str">
        <f>"600023"</f>
        <v>600023</v>
      </c>
      <c r="C24" s="7" t="str">
        <f>"5860406011730"</f>
        <v>5860406011730</v>
      </c>
      <c r="D24" s="2">
        <v>68</v>
      </c>
      <c r="E24" s="8">
        <f t="shared" si="2"/>
        <v>34</v>
      </c>
      <c r="F24" s="2"/>
      <c r="G24" s="2"/>
      <c r="H24" s="9"/>
      <c r="I24" s="10">
        <v>34</v>
      </c>
      <c r="J24" s="11">
        <v>19</v>
      </c>
      <c r="K24" s="18" t="s">
        <v>12</v>
      </c>
    </row>
    <row r="25" spans="1:11" s="12" customFormat="1" ht="18" customHeight="1">
      <c r="A25" s="6" t="str">
        <f>"廖佳"</f>
        <v>廖佳</v>
      </c>
      <c r="B25" s="6" t="str">
        <f>"600023"</f>
        <v>600023</v>
      </c>
      <c r="C25" s="7" t="str">
        <f>"5860406011807"</f>
        <v>5860406011807</v>
      </c>
      <c r="D25" s="2">
        <v>68</v>
      </c>
      <c r="E25" s="8">
        <f t="shared" si="2"/>
        <v>34</v>
      </c>
      <c r="F25" s="2"/>
      <c r="G25" s="2"/>
      <c r="H25" s="9"/>
      <c r="I25" s="10">
        <v>34</v>
      </c>
      <c r="J25" s="11">
        <v>19</v>
      </c>
      <c r="K25" s="18" t="s">
        <v>12</v>
      </c>
    </row>
    <row r="26" spans="1:11" s="12" customFormat="1" ht="18" customHeight="1">
      <c r="A26" s="6" t="str">
        <f>"牟加东"</f>
        <v>牟加东</v>
      </c>
      <c r="B26" s="6" t="str">
        <f>"600023"</f>
        <v>600023</v>
      </c>
      <c r="C26" s="7" t="str">
        <f>"5860406011808"</f>
        <v>5860406011808</v>
      </c>
      <c r="D26" s="2">
        <v>68</v>
      </c>
      <c r="E26" s="8">
        <f t="shared" si="2"/>
        <v>34</v>
      </c>
      <c r="F26" s="2"/>
      <c r="G26" s="2"/>
      <c r="H26" s="9"/>
      <c r="I26" s="10">
        <v>34</v>
      </c>
      <c r="J26" s="11">
        <v>19</v>
      </c>
      <c r="K26" s="18" t="s">
        <v>12</v>
      </c>
    </row>
    <row r="27" spans="1:11" s="12" customFormat="1" ht="18" customHeight="1">
      <c r="A27" s="6" t="str">
        <f>"张潇潇"</f>
        <v>张潇潇</v>
      </c>
      <c r="B27" s="6" t="str">
        <f>"600038"</f>
        <v>600038</v>
      </c>
      <c r="C27" s="7" t="str">
        <f>"5860406011916"</f>
        <v>5860406011916</v>
      </c>
      <c r="D27" s="2">
        <v>43</v>
      </c>
      <c r="E27" s="8">
        <f t="shared" si="2"/>
        <v>21.5</v>
      </c>
      <c r="F27" s="2"/>
      <c r="G27" s="2"/>
      <c r="H27" s="9"/>
      <c r="I27" s="10">
        <v>21.5</v>
      </c>
      <c r="J27" s="11">
        <v>4</v>
      </c>
      <c r="K27" s="18" t="s">
        <v>12</v>
      </c>
    </row>
    <row r="28" spans="1:11" s="12" customFormat="1" ht="18" customHeight="1">
      <c r="A28" s="6" t="str">
        <f>"谭美玲"</f>
        <v>谭美玲</v>
      </c>
      <c r="B28" s="6" t="str">
        <f>"600040"</f>
        <v>600040</v>
      </c>
      <c r="C28" s="7" t="str">
        <f>"5860406011927"</f>
        <v>5860406011927</v>
      </c>
      <c r="D28" s="2">
        <v>67</v>
      </c>
      <c r="E28" s="8">
        <f t="shared" si="2"/>
        <v>33.5</v>
      </c>
      <c r="F28" s="2"/>
      <c r="G28" s="2"/>
      <c r="H28" s="9"/>
      <c r="I28" s="10">
        <v>33.5</v>
      </c>
      <c r="J28" s="11">
        <v>4</v>
      </c>
      <c r="K28" s="18" t="s">
        <v>14</v>
      </c>
    </row>
    <row r="29" spans="1:11" s="12" customFormat="1" ht="18" customHeight="1">
      <c r="A29" s="6" t="str">
        <f>"周兰"</f>
        <v>周兰</v>
      </c>
      <c r="B29" s="6" t="str">
        <f>"600044"</f>
        <v>600044</v>
      </c>
      <c r="C29" s="7" t="str">
        <f>"5860406012013"</f>
        <v>5860406012013</v>
      </c>
      <c r="D29" s="2">
        <v>52</v>
      </c>
      <c r="E29" s="8">
        <f t="shared" si="2"/>
        <v>26</v>
      </c>
      <c r="F29" s="2"/>
      <c r="G29" s="2"/>
      <c r="H29" s="9"/>
      <c r="I29" s="10">
        <v>26</v>
      </c>
      <c r="J29" s="11">
        <v>4</v>
      </c>
      <c r="K29" s="18" t="s">
        <v>12</v>
      </c>
    </row>
    <row r="30" spans="1:11" s="12" customFormat="1" ht="18" customHeight="1">
      <c r="A30" s="6" t="str">
        <f>"张润"</f>
        <v>张润</v>
      </c>
      <c r="B30" s="6" t="str">
        <f>"600044"</f>
        <v>600044</v>
      </c>
      <c r="C30" s="7" t="str">
        <f>"5860406012014"</f>
        <v>5860406012014</v>
      </c>
      <c r="D30" s="2">
        <v>52</v>
      </c>
      <c r="E30" s="8">
        <f t="shared" si="2"/>
        <v>26</v>
      </c>
      <c r="F30" s="2"/>
      <c r="G30" s="2"/>
      <c r="H30" s="9"/>
      <c r="I30" s="10">
        <v>26</v>
      </c>
      <c r="J30" s="11">
        <v>4</v>
      </c>
      <c r="K30" s="18" t="s">
        <v>12</v>
      </c>
    </row>
    <row r="31" spans="1:11" s="12" customFormat="1" ht="18" customHeight="1">
      <c r="A31" s="6" t="str">
        <f>"徐礼慧"</f>
        <v>徐礼慧</v>
      </c>
      <c r="B31" s="6" t="str">
        <f>"600046"</f>
        <v>600046</v>
      </c>
      <c r="C31" s="7" t="str">
        <f>"5860406012019"</f>
        <v>5860406012019</v>
      </c>
      <c r="D31" s="2">
        <v>65</v>
      </c>
      <c r="E31" s="8">
        <f t="shared" si="2"/>
        <v>32.5</v>
      </c>
      <c r="F31" s="2"/>
      <c r="G31" s="2"/>
      <c r="H31" s="9"/>
      <c r="I31" s="10">
        <v>32.5</v>
      </c>
      <c r="J31" s="11">
        <v>4</v>
      </c>
      <c r="K31" s="18" t="s">
        <v>12</v>
      </c>
    </row>
    <row r="32" spans="1:11" s="12" customFormat="1" ht="18" customHeight="1">
      <c r="A32" s="6" t="str">
        <f>"罗静"</f>
        <v>罗静</v>
      </c>
      <c r="B32" s="6" t="str">
        <f>"600048"</f>
        <v>600048</v>
      </c>
      <c r="C32" s="7" t="str">
        <f>"5860406012028"</f>
        <v>5860406012028</v>
      </c>
      <c r="D32" s="2">
        <v>59</v>
      </c>
      <c r="E32" s="8">
        <f aca="true" t="shared" si="3" ref="E32:E37">(D32+H32)*0.5</f>
        <v>29.5</v>
      </c>
      <c r="F32" s="2"/>
      <c r="G32" s="2"/>
      <c r="H32" s="9"/>
      <c r="I32" s="10">
        <v>29.5</v>
      </c>
      <c r="J32" s="11">
        <v>22</v>
      </c>
      <c r="K32" s="18" t="s">
        <v>13</v>
      </c>
    </row>
    <row r="33" spans="1:11" s="12" customFormat="1" ht="18" customHeight="1">
      <c r="A33" s="6" t="str">
        <f>"王雪梅"</f>
        <v>王雪梅</v>
      </c>
      <c r="B33" s="6" t="str">
        <f>"600048"</f>
        <v>600048</v>
      </c>
      <c r="C33" s="7" t="str">
        <f>"5860406012030"</f>
        <v>5860406012030</v>
      </c>
      <c r="D33" s="2">
        <v>59</v>
      </c>
      <c r="E33" s="8">
        <f t="shared" si="3"/>
        <v>29.5</v>
      </c>
      <c r="F33" s="2"/>
      <c r="G33" s="2"/>
      <c r="H33" s="9"/>
      <c r="I33" s="10">
        <v>29.5</v>
      </c>
      <c r="J33" s="11">
        <v>22</v>
      </c>
      <c r="K33" s="18" t="s">
        <v>14</v>
      </c>
    </row>
    <row r="34" spans="1:11" s="12" customFormat="1" ht="18" customHeight="1">
      <c r="A34" s="6" t="str">
        <f>"冯芳"</f>
        <v>冯芳</v>
      </c>
      <c r="B34" s="6" t="str">
        <f>"600048"</f>
        <v>600048</v>
      </c>
      <c r="C34" s="7" t="str">
        <f>"5860406012114"</f>
        <v>5860406012114</v>
      </c>
      <c r="D34" s="2">
        <v>59</v>
      </c>
      <c r="E34" s="8">
        <f t="shared" si="3"/>
        <v>29.5</v>
      </c>
      <c r="F34" s="2"/>
      <c r="G34" s="2"/>
      <c r="H34" s="9"/>
      <c r="I34" s="10">
        <v>29.5</v>
      </c>
      <c r="J34" s="11">
        <v>22</v>
      </c>
      <c r="K34" s="18" t="s">
        <v>12</v>
      </c>
    </row>
    <row r="35" spans="1:11" s="12" customFormat="1" ht="18" customHeight="1">
      <c r="A35" s="6" t="str">
        <f>"徐学欢"</f>
        <v>徐学欢</v>
      </c>
      <c r="B35" s="6" t="str">
        <f>"600048"</f>
        <v>600048</v>
      </c>
      <c r="C35" s="7" t="str">
        <f>"5860406012119"</f>
        <v>5860406012119</v>
      </c>
      <c r="D35" s="2">
        <v>59</v>
      </c>
      <c r="E35" s="8">
        <f t="shared" si="3"/>
        <v>29.5</v>
      </c>
      <c r="F35" s="2"/>
      <c r="G35" s="2"/>
      <c r="H35" s="9"/>
      <c r="I35" s="10">
        <v>29.5</v>
      </c>
      <c r="J35" s="11">
        <v>22</v>
      </c>
      <c r="K35" s="18" t="s">
        <v>12</v>
      </c>
    </row>
    <row r="36" spans="1:11" s="12" customFormat="1" ht="18" customHeight="1">
      <c r="A36" s="6" t="str">
        <f>"袁秋容"</f>
        <v>袁秋容</v>
      </c>
      <c r="B36" s="6" t="str">
        <f>"600049"</f>
        <v>600049</v>
      </c>
      <c r="C36" s="7" t="str">
        <f>"5860406012212"</f>
        <v>5860406012212</v>
      </c>
      <c r="D36" s="2">
        <v>52</v>
      </c>
      <c r="E36" s="8">
        <f t="shared" si="3"/>
        <v>26</v>
      </c>
      <c r="F36" s="2"/>
      <c r="G36" s="2"/>
      <c r="H36" s="9"/>
      <c r="I36" s="10">
        <v>26</v>
      </c>
      <c r="J36" s="11">
        <v>26</v>
      </c>
      <c r="K36" s="18" t="s">
        <v>12</v>
      </c>
    </row>
    <row r="37" spans="1:11" s="12" customFormat="1" ht="18" customHeight="1">
      <c r="A37" s="6" t="str">
        <f>"杨静"</f>
        <v>杨静</v>
      </c>
      <c r="B37" s="6" t="str">
        <f>"600049"</f>
        <v>600049</v>
      </c>
      <c r="C37" s="7" t="str">
        <f>"5860406012224"</f>
        <v>5860406012224</v>
      </c>
      <c r="D37" s="2">
        <v>52</v>
      </c>
      <c r="E37" s="8">
        <f t="shared" si="3"/>
        <v>26</v>
      </c>
      <c r="F37" s="2"/>
      <c r="G37" s="2"/>
      <c r="H37" s="9"/>
      <c r="I37" s="10">
        <v>26</v>
      </c>
      <c r="J37" s="11">
        <v>26</v>
      </c>
      <c r="K37" s="18" t="s">
        <v>14</v>
      </c>
    </row>
    <row r="38" spans="1:11" s="12" customFormat="1" ht="18" customHeight="1">
      <c r="A38" s="6" t="str">
        <f>"向媛媛"</f>
        <v>向媛媛</v>
      </c>
      <c r="B38" s="6" t="str">
        <f>"600049"</f>
        <v>600049</v>
      </c>
      <c r="C38" s="7" t="str">
        <f>"5860406012301"</f>
        <v>5860406012301</v>
      </c>
      <c r="D38" s="2">
        <v>52</v>
      </c>
      <c r="E38" s="8">
        <f aca="true" t="shared" si="4" ref="E38:E43">(D38+H38)*0.5</f>
        <v>26</v>
      </c>
      <c r="F38" s="2"/>
      <c r="G38" s="2"/>
      <c r="H38" s="9"/>
      <c r="I38" s="10">
        <v>26</v>
      </c>
      <c r="J38" s="11">
        <v>26</v>
      </c>
      <c r="K38" s="18" t="s">
        <v>12</v>
      </c>
    </row>
    <row r="39" spans="1:11" s="12" customFormat="1" ht="18" customHeight="1">
      <c r="A39" s="6" t="str">
        <f>"刘立立"</f>
        <v>刘立立</v>
      </c>
      <c r="B39" s="6" t="str">
        <f>"600049"</f>
        <v>600049</v>
      </c>
      <c r="C39" s="7" t="str">
        <f>"5860406012314"</f>
        <v>5860406012314</v>
      </c>
      <c r="D39" s="2">
        <v>52</v>
      </c>
      <c r="E39" s="8">
        <f t="shared" si="4"/>
        <v>26</v>
      </c>
      <c r="F39" s="2"/>
      <c r="G39" s="2"/>
      <c r="H39" s="9"/>
      <c r="I39" s="10">
        <v>26</v>
      </c>
      <c r="J39" s="11">
        <v>26</v>
      </c>
      <c r="K39" s="18" t="s">
        <v>12</v>
      </c>
    </row>
    <row r="40" spans="1:11" s="12" customFormat="1" ht="18" customHeight="1">
      <c r="A40" s="6" t="str">
        <f>"邓嗣仁"</f>
        <v>邓嗣仁</v>
      </c>
      <c r="B40" s="6" t="str">
        <f>"600050"</f>
        <v>600050</v>
      </c>
      <c r="C40" s="7" t="str">
        <f>"5860406012324"</f>
        <v>5860406012324</v>
      </c>
      <c r="D40" s="2">
        <v>49</v>
      </c>
      <c r="E40" s="8">
        <f t="shared" si="4"/>
        <v>24.5</v>
      </c>
      <c r="F40" s="2"/>
      <c r="G40" s="2"/>
      <c r="H40" s="9"/>
      <c r="I40" s="10">
        <v>24.5</v>
      </c>
      <c r="J40" s="11">
        <v>17</v>
      </c>
      <c r="K40" s="18" t="s">
        <v>12</v>
      </c>
    </row>
    <row r="41" spans="1:11" s="12" customFormat="1" ht="18" customHeight="1">
      <c r="A41" s="6" t="str">
        <f>"李春梅"</f>
        <v>李春梅</v>
      </c>
      <c r="B41" s="6" t="str">
        <f>"600050"</f>
        <v>600050</v>
      </c>
      <c r="C41" s="7" t="str">
        <f>"5860406012322"</f>
        <v>5860406012322</v>
      </c>
      <c r="D41" s="2">
        <v>46</v>
      </c>
      <c r="E41" s="8">
        <f t="shared" si="4"/>
        <v>23</v>
      </c>
      <c r="F41" s="2"/>
      <c r="G41" s="2"/>
      <c r="H41" s="9"/>
      <c r="I41" s="10">
        <v>23</v>
      </c>
      <c r="J41" s="11">
        <v>18</v>
      </c>
      <c r="K41" s="18" t="s">
        <v>14</v>
      </c>
    </row>
    <row r="42" spans="1:11" s="12" customFormat="1" ht="18" customHeight="1">
      <c r="A42" s="6" t="str">
        <f>"刘小芳"</f>
        <v>刘小芳</v>
      </c>
      <c r="B42" s="6" t="str">
        <f>"600052"</f>
        <v>600052</v>
      </c>
      <c r="C42" s="7" t="str">
        <f>"5860406012419"</f>
        <v>5860406012419</v>
      </c>
      <c r="D42" s="2">
        <v>59</v>
      </c>
      <c r="E42" s="8">
        <f t="shared" si="4"/>
        <v>29.5</v>
      </c>
      <c r="F42" s="2"/>
      <c r="G42" s="2"/>
      <c r="H42" s="9"/>
      <c r="I42" s="10">
        <v>29.5</v>
      </c>
      <c r="J42" s="11">
        <v>3</v>
      </c>
      <c r="K42" s="18" t="s">
        <v>12</v>
      </c>
    </row>
    <row r="43" spans="1:11" s="12" customFormat="1" ht="18" customHeight="1">
      <c r="A43" s="6" t="str">
        <f>"邱超"</f>
        <v>邱超</v>
      </c>
      <c r="B43" s="6" t="str">
        <f>"600053"</f>
        <v>600053</v>
      </c>
      <c r="C43" s="7" t="str">
        <f>"5860406012430"</f>
        <v>5860406012430</v>
      </c>
      <c r="D43" s="2">
        <v>48</v>
      </c>
      <c r="E43" s="8">
        <f t="shared" si="4"/>
        <v>24</v>
      </c>
      <c r="F43" s="2"/>
      <c r="G43" s="2"/>
      <c r="H43" s="9"/>
      <c r="I43" s="10">
        <v>24</v>
      </c>
      <c r="J43" s="11">
        <v>11</v>
      </c>
      <c r="K43" s="18" t="s">
        <v>12</v>
      </c>
    </row>
    <row r="44" spans="1:11" s="12" customFormat="1" ht="18" customHeight="1">
      <c r="A44" s="6" t="str">
        <f>"王燕峰"</f>
        <v>王燕峰</v>
      </c>
      <c r="B44" s="6" t="str">
        <f aca="true" t="shared" si="5" ref="B44:B52">"600054"</f>
        <v>600054</v>
      </c>
      <c r="C44" s="7" t="str">
        <f>"5860406012503"</f>
        <v>5860406012503</v>
      </c>
      <c r="D44" s="2">
        <v>59</v>
      </c>
      <c r="E44" s="8">
        <f aca="true" t="shared" si="6" ref="E44:E52">(D44+H44)*0.5</f>
        <v>29.5</v>
      </c>
      <c r="F44" s="2"/>
      <c r="G44" s="2"/>
      <c r="H44" s="9"/>
      <c r="I44" s="10">
        <v>29.5</v>
      </c>
      <c r="J44" s="11">
        <v>22</v>
      </c>
      <c r="K44" s="18" t="s">
        <v>12</v>
      </c>
    </row>
    <row r="45" spans="1:11" s="12" customFormat="1" ht="18" customHeight="1">
      <c r="A45" s="6" t="str">
        <f>"沈春梅"</f>
        <v>沈春梅</v>
      </c>
      <c r="B45" s="6" t="str">
        <f t="shared" si="5"/>
        <v>600054</v>
      </c>
      <c r="C45" s="7" t="str">
        <f>"5860406012505"</f>
        <v>5860406012505</v>
      </c>
      <c r="D45" s="2">
        <v>59</v>
      </c>
      <c r="E45" s="8">
        <f t="shared" si="6"/>
        <v>29.5</v>
      </c>
      <c r="F45" s="2"/>
      <c r="G45" s="2"/>
      <c r="H45" s="9"/>
      <c r="I45" s="10">
        <v>29.5</v>
      </c>
      <c r="J45" s="11">
        <v>22</v>
      </c>
      <c r="K45" s="18" t="s">
        <v>14</v>
      </c>
    </row>
    <row r="46" spans="1:11" s="12" customFormat="1" ht="18" customHeight="1">
      <c r="A46" s="6" t="str">
        <f>"雷冬"</f>
        <v>雷冬</v>
      </c>
      <c r="B46" s="6" t="str">
        <f t="shared" si="5"/>
        <v>600054</v>
      </c>
      <c r="C46" s="7" t="str">
        <f>"5860406012508"</f>
        <v>5860406012508</v>
      </c>
      <c r="D46" s="2">
        <v>59</v>
      </c>
      <c r="E46" s="8">
        <f t="shared" si="6"/>
        <v>29.5</v>
      </c>
      <c r="F46" s="2"/>
      <c r="G46" s="2"/>
      <c r="H46" s="9"/>
      <c r="I46" s="10">
        <v>29.5</v>
      </c>
      <c r="J46" s="11">
        <v>22</v>
      </c>
      <c r="K46" s="18" t="s">
        <v>14</v>
      </c>
    </row>
    <row r="47" spans="1:11" s="12" customFormat="1" ht="18" customHeight="1">
      <c r="A47" s="6" t="str">
        <f>"吕红亚"</f>
        <v>吕红亚</v>
      </c>
      <c r="B47" s="6" t="str">
        <f t="shared" si="5"/>
        <v>600054</v>
      </c>
      <c r="C47" s="7" t="str">
        <f>"5860406012525"</f>
        <v>5860406012525</v>
      </c>
      <c r="D47" s="2">
        <v>59</v>
      </c>
      <c r="E47" s="8">
        <f t="shared" si="6"/>
        <v>29.5</v>
      </c>
      <c r="F47" s="2"/>
      <c r="G47" s="2"/>
      <c r="H47" s="9"/>
      <c r="I47" s="10">
        <v>29.5</v>
      </c>
      <c r="J47" s="11">
        <v>22</v>
      </c>
      <c r="K47" s="18" t="s">
        <v>12</v>
      </c>
    </row>
    <row r="48" spans="1:11" s="12" customFormat="1" ht="18" customHeight="1">
      <c r="A48" s="6" t="str">
        <f>"李彦萍"</f>
        <v>李彦萍</v>
      </c>
      <c r="B48" s="6" t="str">
        <f t="shared" si="5"/>
        <v>600054</v>
      </c>
      <c r="C48" s="7" t="str">
        <f>"5860406012510"</f>
        <v>5860406012510</v>
      </c>
      <c r="D48" s="2">
        <v>53</v>
      </c>
      <c r="E48" s="8">
        <f t="shared" si="6"/>
        <v>26.5</v>
      </c>
      <c r="F48" s="2"/>
      <c r="G48" s="2"/>
      <c r="H48" s="9"/>
      <c r="I48" s="10">
        <v>26.5</v>
      </c>
      <c r="J48" s="11">
        <v>26</v>
      </c>
      <c r="K48" s="18" t="s">
        <v>12</v>
      </c>
    </row>
    <row r="49" spans="1:11" s="12" customFormat="1" ht="18" customHeight="1">
      <c r="A49" s="6" t="str">
        <f>"许萨萨"</f>
        <v>许萨萨</v>
      </c>
      <c r="B49" s="6" t="str">
        <f t="shared" si="5"/>
        <v>600054</v>
      </c>
      <c r="C49" s="7" t="str">
        <f>"5860406012512"</f>
        <v>5860406012512</v>
      </c>
      <c r="D49" s="2">
        <v>50</v>
      </c>
      <c r="E49" s="8">
        <f t="shared" si="6"/>
        <v>25</v>
      </c>
      <c r="F49" s="2"/>
      <c r="G49" s="2"/>
      <c r="H49" s="9"/>
      <c r="I49" s="10">
        <v>25</v>
      </c>
      <c r="J49" s="11">
        <v>27</v>
      </c>
      <c r="K49" s="18" t="s">
        <v>12</v>
      </c>
    </row>
    <row r="50" spans="1:11" s="12" customFormat="1" ht="18" customHeight="1">
      <c r="A50" s="6" t="str">
        <f>"汤超"</f>
        <v>汤超</v>
      </c>
      <c r="B50" s="6" t="str">
        <f t="shared" si="5"/>
        <v>600054</v>
      </c>
      <c r="C50" s="7" t="str">
        <f>"5860406012517"</f>
        <v>5860406012517</v>
      </c>
      <c r="D50" s="2">
        <v>50</v>
      </c>
      <c r="E50" s="8">
        <f t="shared" si="6"/>
        <v>25</v>
      </c>
      <c r="F50" s="2"/>
      <c r="G50" s="2"/>
      <c r="H50" s="9"/>
      <c r="I50" s="10">
        <v>25</v>
      </c>
      <c r="J50" s="11">
        <v>27</v>
      </c>
      <c r="K50" s="18" t="s">
        <v>12</v>
      </c>
    </row>
    <row r="51" spans="1:11" s="12" customFormat="1" ht="18" customHeight="1">
      <c r="A51" s="6" t="str">
        <f>"年龙"</f>
        <v>年龙</v>
      </c>
      <c r="B51" s="6" t="str">
        <f t="shared" si="5"/>
        <v>600054</v>
      </c>
      <c r="C51" s="7" t="str">
        <f>"5860406012506"</f>
        <v>5860406012506</v>
      </c>
      <c r="D51" s="2">
        <v>49</v>
      </c>
      <c r="E51" s="8">
        <f t="shared" si="6"/>
        <v>24.5</v>
      </c>
      <c r="F51" s="2"/>
      <c r="G51" s="2"/>
      <c r="H51" s="9"/>
      <c r="I51" s="10">
        <v>24.5</v>
      </c>
      <c r="J51" s="11">
        <v>29</v>
      </c>
      <c r="K51" s="18" t="s">
        <v>12</v>
      </c>
    </row>
    <row r="52" spans="1:11" s="12" customFormat="1" ht="18" customHeight="1">
      <c r="A52" s="6" t="str">
        <f>"林贵志"</f>
        <v>林贵志</v>
      </c>
      <c r="B52" s="6" t="str">
        <f t="shared" si="5"/>
        <v>600054</v>
      </c>
      <c r="C52" s="7" t="str">
        <f>"5860406012513"</f>
        <v>5860406012513</v>
      </c>
      <c r="D52" s="2">
        <v>47</v>
      </c>
      <c r="E52" s="8">
        <f t="shared" si="6"/>
        <v>23.5</v>
      </c>
      <c r="F52" s="2"/>
      <c r="G52" s="2"/>
      <c r="H52" s="9"/>
      <c r="I52" s="10">
        <v>23.5</v>
      </c>
      <c r="J52" s="11">
        <v>30</v>
      </c>
      <c r="K52" s="18" t="s">
        <v>14</v>
      </c>
    </row>
    <row r="53" spans="1:11" s="12" customFormat="1" ht="18" customHeight="1">
      <c r="A53" s="6" t="str">
        <f>"孟高民"</f>
        <v>孟高民</v>
      </c>
      <c r="B53" s="6" t="str">
        <f>"600059"</f>
        <v>600059</v>
      </c>
      <c r="C53" s="7" t="str">
        <f>"5860406012728"</f>
        <v>5860406012728</v>
      </c>
      <c r="D53" s="2">
        <v>42</v>
      </c>
      <c r="E53" s="8">
        <f>(D53+H53)*0.5</f>
        <v>21</v>
      </c>
      <c r="F53" s="2"/>
      <c r="G53" s="2"/>
      <c r="H53" s="9"/>
      <c r="I53" s="10">
        <v>21</v>
      </c>
      <c r="J53" s="11">
        <v>13</v>
      </c>
      <c r="K53" s="18" t="s">
        <v>12</v>
      </c>
    </row>
    <row r="54" spans="1:11" s="12" customFormat="1" ht="18" customHeight="1">
      <c r="A54" s="6" t="str">
        <f>"杨林翠"</f>
        <v>杨林翠</v>
      </c>
      <c r="B54" s="6" t="str">
        <f>"600060"</f>
        <v>600060</v>
      </c>
      <c r="C54" s="7" t="str">
        <f>"5860406012829"</f>
        <v>5860406012829</v>
      </c>
      <c r="D54" s="2">
        <v>59</v>
      </c>
      <c r="E54" s="8">
        <f>(D54+H54)*0.5</f>
        <v>29.5</v>
      </c>
      <c r="F54" s="2"/>
      <c r="G54" s="2"/>
      <c r="H54" s="9"/>
      <c r="I54" s="10">
        <v>29.5</v>
      </c>
      <c r="J54" s="11">
        <v>28</v>
      </c>
      <c r="K54" s="18" t="s">
        <v>12</v>
      </c>
    </row>
    <row r="55" spans="1:11" s="12" customFormat="1" ht="18" customHeight="1">
      <c r="A55" s="6" t="str">
        <f>"王含"</f>
        <v>王含</v>
      </c>
      <c r="B55" s="6" t="str">
        <f>"600060"</f>
        <v>600060</v>
      </c>
      <c r="C55" s="7" t="str">
        <f>"5860406012919"</f>
        <v>5860406012919</v>
      </c>
      <c r="D55" s="2">
        <v>57</v>
      </c>
      <c r="E55" s="8">
        <f>(D55+H55)*0.5</f>
        <v>28.5</v>
      </c>
      <c r="F55" s="2"/>
      <c r="G55" s="2"/>
      <c r="H55" s="9"/>
      <c r="I55" s="10">
        <v>28.5</v>
      </c>
      <c r="J55" s="11">
        <v>29</v>
      </c>
      <c r="K55" s="18" t="s">
        <v>12</v>
      </c>
    </row>
    <row r="56" spans="1:11" s="12" customFormat="1" ht="18" customHeight="1">
      <c r="A56" s="6" t="str">
        <f>"王晓梅"</f>
        <v>王晓梅</v>
      </c>
      <c r="B56" s="6" t="str">
        <f>"600060"</f>
        <v>600060</v>
      </c>
      <c r="C56" s="7" t="str">
        <f>"5860406012904"</f>
        <v>5860406012904</v>
      </c>
      <c r="D56" s="2">
        <v>56</v>
      </c>
      <c r="E56" s="8">
        <f>(D56+H56)*0.5</f>
        <v>28</v>
      </c>
      <c r="F56" s="2"/>
      <c r="G56" s="2"/>
      <c r="H56" s="9"/>
      <c r="I56" s="10">
        <v>28</v>
      </c>
      <c r="J56" s="11">
        <v>30</v>
      </c>
      <c r="K56" s="18" t="s">
        <v>12</v>
      </c>
    </row>
    <row r="57" spans="1:11" s="12" customFormat="1" ht="18" customHeight="1">
      <c r="A57" s="6" t="str">
        <f>"雷燕萍"</f>
        <v>雷燕萍</v>
      </c>
      <c r="B57" s="6" t="str">
        <f>"600060"</f>
        <v>600060</v>
      </c>
      <c r="C57" s="7" t="str">
        <f>"5860406012920"</f>
        <v>5860406012920</v>
      </c>
      <c r="D57" s="2">
        <v>56</v>
      </c>
      <c r="E57" s="8">
        <f>(D57+H57)*0.5</f>
        <v>28</v>
      </c>
      <c r="F57" s="2"/>
      <c r="G57" s="2"/>
      <c r="H57" s="9"/>
      <c r="I57" s="10">
        <v>28</v>
      </c>
      <c r="J57" s="11">
        <v>30</v>
      </c>
      <c r="K57" s="18" t="s">
        <v>12</v>
      </c>
    </row>
    <row r="58" spans="1:11" s="12" customFormat="1" ht="18" customHeight="1">
      <c r="A58" s="6" t="str">
        <f>"张娇"</f>
        <v>张娇</v>
      </c>
      <c r="B58" s="6" t="str">
        <f aca="true" t="shared" si="7" ref="B58:B63">"600061"</f>
        <v>600061</v>
      </c>
      <c r="C58" s="7" t="str">
        <f>"5860406013006"</f>
        <v>5860406013006</v>
      </c>
      <c r="D58" s="2">
        <v>59</v>
      </c>
      <c r="E58" s="8">
        <f aca="true" t="shared" si="8" ref="E58:E63">(D58+H58)*0.5</f>
        <v>29.5</v>
      </c>
      <c r="F58" s="2"/>
      <c r="G58" s="2"/>
      <c r="H58" s="9"/>
      <c r="I58" s="10">
        <v>29.5</v>
      </c>
      <c r="J58" s="11">
        <v>28</v>
      </c>
      <c r="K58" s="18" t="s">
        <v>12</v>
      </c>
    </row>
    <row r="59" spans="1:11" s="12" customFormat="1" ht="18" customHeight="1">
      <c r="A59" s="6" t="str">
        <f>"蒋运萍"</f>
        <v>蒋运萍</v>
      </c>
      <c r="B59" s="6" t="str">
        <f t="shared" si="7"/>
        <v>600061</v>
      </c>
      <c r="C59" s="7" t="str">
        <f>"5860406012924"</f>
        <v>5860406012924</v>
      </c>
      <c r="D59" s="2">
        <v>58</v>
      </c>
      <c r="E59" s="8">
        <f t="shared" si="8"/>
        <v>29</v>
      </c>
      <c r="F59" s="2"/>
      <c r="G59" s="2"/>
      <c r="H59" s="9"/>
      <c r="I59" s="10">
        <v>29</v>
      </c>
      <c r="J59" s="11">
        <v>29</v>
      </c>
      <c r="K59" s="18" t="s">
        <v>12</v>
      </c>
    </row>
    <row r="60" spans="1:11" s="12" customFormat="1" ht="18" customHeight="1">
      <c r="A60" s="6" t="str">
        <f>"钟章辉"</f>
        <v>钟章辉</v>
      </c>
      <c r="B60" s="6" t="str">
        <f t="shared" si="7"/>
        <v>600061</v>
      </c>
      <c r="C60" s="7" t="str">
        <f>"5860406013021"</f>
        <v>5860406013021</v>
      </c>
      <c r="D60" s="2">
        <v>58</v>
      </c>
      <c r="E60" s="8">
        <f t="shared" si="8"/>
        <v>29</v>
      </c>
      <c r="F60" s="2"/>
      <c r="G60" s="2"/>
      <c r="H60" s="9"/>
      <c r="I60" s="10">
        <v>29</v>
      </c>
      <c r="J60" s="11">
        <v>29</v>
      </c>
      <c r="K60" s="18" t="s">
        <v>12</v>
      </c>
    </row>
    <row r="61" spans="1:11" s="12" customFormat="1" ht="18" customHeight="1">
      <c r="A61" s="6" t="str">
        <f>"王久"</f>
        <v>王久</v>
      </c>
      <c r="B61" s="6" t="str">
        <f t="shared" si="7"/>
        <v>600061</v>
      </c>
      <c r="C61" s="7" t="str">
        <f>"5860406013106"</f>
        <v>5860406013106</v>
      </c>
      <c r="D61" s="2">
        <v>58</v>
      </c>
      <c r="E61" s="8">
        <f t="shared" si="8"/>
        <v>29</v>
      </c>
      <c r="F61" s="2"/>
      <c r="G61" s="2"/>
      <c r="H61" s="9"/>
      <c r="I61" s="10">
        <v>29</v>
      </c>
      <c r="J61" s="11">
        <v>29</v>
      </c>
      <c r="K61" s="18" t="s">
        <v>12</v>
      </c>
    </row>
    <row r="62" spans="1:11" s="12" customFormat="1" ht="18" customHeight="1">
      <c r="A62" s="6" t="str">
        <f>"王仕廷"</f>
        <v>王仕廷</v>
      </c>
      <c r="B62" s="6" t="str">
        <f t="shared" si="7"/>
        <v>600061</v>
      </c>
      <c r="C62" s="7" t="str">
        <f>"5860406013004"</f>
        <v>5860406013004</v>
      </c>
      <c r="D62" s="2">
        <v>57</v>
      </c>
      <c r="E62" s="8">
        <f t="shared" si="8"/>
        <v>28.5</v>
      </c>
      <c r="F62" s="2"/>
      <c r="G62" s="2"/>
      <c r="H62" s="9"/>
      <c r="I62" s="10">
        <v>28.5</v>
      </c>
      <c r="J62" s="11">
        <v>32</v>
      </c>
      <c r="K62" s="18" t="s">
        <v>12</v>
      </c>
    </row>
    <row r="63" spans="1:11" s="12" customFormat="1" ht="18" customHeight="1">
      <c r="A63" s="6" t="str">
        <f>"张丽文"</f>
        <v>张丽文</v>
      </c>
      <c r="B63" s="6" t="str">
        <f t="shared" si="7"/>
        <v>600061</v>
      </c>
      <c r="C63" s="7" t="str">
        <f>"5860406013022"</f>
        <v>5860406013022</v>
      </c>
      <c r="D63" s="2">
        <v>57</v>
      </c>
      <c r="E63" s="8">
        <f t="shared" si="8"/>
        <v>28.5</v>
      </c>
      <c r="F63" s="2"/>
      <c r="G63" s="2"/>
      <c r="H63" s="9"/>
      <c r="I63" s="10">
        <v>28.5</v>
      </c>
      <c r="J63" s="11">
        <v>32</v>
      </c>
      <c r="K63" s="18" t="s">
        <v>14</v>
      </c>
    </row>
    <row r="64" spans="1:11" s="12" customFormat="1" ht="18" customHeight="1">
      <c r="A64" s="6" t="str">
        <f>"杨磊"</f>
        <v>杨磊</v>
      </c>
      <c r="B64" s="6" t="str">
        <f>"600062"</f>
        <v>600062</v>
      </c>
      <c r="C64" s="7" t="str">
        <f>"5860406013122"</f>
        <v>5860406013122</v>
      </c>
      <c r="D64" s="2">
        <v>18</v>
      </c>
      <c r="E64" s="8">
        <f aca="true" t="shared" si="9" ref="E64:E72">(D64+H64)*0.5</f>
        <v>9</v>
      </c>
      <c r="F64" s="2"/>
      <c r="G64" s="2"/>
      <c r="H64" s="9"/>
      <c r="I64" s="10">
        <v>9</v>
      </c>
      <c r="J64" s="11">
        <v>17</v>
      </c>
      <c r="K64" s="18" t="s">
        <v>12</v>
      </c>
    </row>
    <row r="65" spans="1:11" s="12" customFormat="1" ht="18" customHeight="1">
      <c r="A65" s="6" t="str">
        <f>"陈波"</f>
        <v>陈波</v>
      </c>
      <c r="B65" s="6" t="str">
        <f aca="true" t="shared" si="10" ref="B65:B72">"600063"</f>
        <v>600063</v>
      </c>
      <c r="C65" s="7" t="str">
        <f>"5860406013203"</f>
        <v>5860406013203</v>
      </c>
      <c r="D65" s="2">
        <v>58</v>
      </c>
      <c r="E65" s="8">
        <f t="shared" si="9"/>
        <v>29</v>
      </c>
      <c r="F65" s="2"/>
      <c r="G65" s="2"/>
      <c r="H65" s="9"/>
      <c r="I65" s="10">
        <v>29</v>
      </c>
      <c r="J65" s="11">
        <v>28</v>
      </c>
      <c r="K65" s="18" t="s">
        <v>14</v>
      </c>
    </row>
    <row r="66" spans="1:11" s="12" customFormat="1" ht="18" customHeight="1">
      <c r="A66" s="6" t="str">
        <f>"文伟"</f>
        <v>文伟</v>
      </c>
      <c r="B66" s="6" t="str">
        <f t="shared" si="10"/>
        <v>600063</v>
      </c>
      <c r="C66" s="7" t="str">
        <f>"5860406013216"</f>
        <v>5860406013216</v>
      </c>
      <c r="D66" s="2">
        <v>58</v>
      </c>
      <c r="E66" s="8">
        <f t="shared" si="9"/>
        <v>29</v>
      </c>
      <c r="F66" s="2"/>
      <c r="G66" s="2"/>
      <c r="H66" s="9"/>
      <c r="I66" s="10">
        <v>29</v>
      </c>
      <c r="J66" s="11">
        <v>28</v>
      </c>
      <c r="K66" s="18" t="s">
        <v>12</v>
      </c>
    </row>
    <row r="67" spans="1:11" s="12" customFormat="1" ht="18" customHeight="1">
      <c r="A67" s="6" t="str">
        <f>"余辰娥"</f>
        <v>余辰娥</v>
      </c>
      <c r="B67" s="6" t="str">
        <f t="shared" si="10"/>
        <v>600063</v>
      </c>
      <c r="C67" s="7" t="str">
        <f>"5860406013218"</f>
        <v>5860406013218</v>
      </c>
      <c r="D67" s="2">
        <v>58</v>
      </c>
      <c r="E67" s="8">
        <f t="shared" si="9"/>
        <v>29</v>
      </c>
      <c r="F67" s="2"/>
      <c r="G67" s="2"/>
      <c r="H67" s="9"/>
      <c r="I67" s="10">
        <v>29</v>
      </c>
      <c r="J67" s="11">
        <v>28</v>
      </c>
      <c r="K67" s="18" t="s">
        <v>12</v>
      </c>
    </row>
    <row r="68" spans="1:11" s="12" customFormat="1" ht="18" customHeight="1">
      <c r="A68" s="6" t="str">
        <f>"熊前珍"</f>
        <v>熊前珍</v>
      </c>
      <c r="B68" s="6" t="str">
        <f t="shared" si="10"/>
        <v>600063</v>
      </c>
      <c r="C68" s="7" t="str">
        <f>"5860406013307"</f>
        <v>5860406013307</v>
      </c>
      <c r="D68" s="2">
        <v>58</v>
      </c>
      <c r="E68" s="8">
        <f t="shared" si="9"/>
        <v>29</v>
      </c>
      <c r="F68" s="2"/>
      <c r="G68" s="2"/>
      <c r="H68" s="9"/>
      <c r="I68" s="10">
        <v>29</v>
      </c>
      <c r="J68" s="11">
        <v>28</v>
      </c>
      <c r="K68" s="18" t="s">
        <v>12</v>
      </c>
    </row>
    <row r="69" spans="1:11" s="12" customFormat="1" ht="18" customHeight="1">
      <c r="A69" s="6" t="str">
        <f>"代朝鲜"</f>
        <v>代朝鲜</v>
      </c>
      <c r="B69" s="6" t="str">
        <f t="shared" si="10"/>
        <v>600063</v>
      </c>
      <c r="C69" s="7" t="str">
        <f>"5860406013324"</f>
        <v>5860406013324</v>
      </c>
      <c r="D69" s="2">
        <v>58</v>
      </c>
      <c r="E69" s="8">
        <f t="shared" si="9"/>
        <v>29</v>
      </c>
      <c r="F69" s="2"/>
      <c r="G69" s="2"/>
      <c r="H69" s="9"/>
      <c r="I69" s="10">
        <v>29</v>
      </c>
      <c r="J69" s="11">
        <v>28</v>
      </c>
      <c r="K69" s="18" t="s">
        <v>12</v>
      </c>
    </row>
    <row r="70" spans="1:11" s="12" customFormat="1" ht="18" customHeight="1">
      <c r="A70" s="6" t="str">
        <f>"魏自国"</f>
        <v>魏自国</v>
      </c>
      <c r="B70" s="6" t="str">
        <f t="shared" si="10"/>
        <v>600063</v>
      </c>
      <c r="C70" s="7" t="str">
        <f>"5860406013405"</f>
        <v>5860406013405</v>
      </c>
      <c r="D70" s="2">
        <v>58</v>
      </c>
      <c r="E70" s="8">
        <f t="shared" si="9"/>
        <v>29</v>
      </c>
      <c r="F70" s="2"/>
      <c r="G70" s="2"/>
      <c r="H70" s="9"/>
      <c r="I70" s="10">
        <v>29</v>
      </c>
      <c r="J70" s="11">
        <v>28</v>
      </c>
      <c r="K70" s="18" t="s">
        <v>12</v>
      </c>
    </row>
    <row r="71" spans="1:11" s="12" customFormat="1" ht="18" customHeight="1">
      <c r="A71" s="6" t="str">
        <f>"蒲新海"</f>
        <v>蒲新海</v>
      </c>
      <c r="B71" s="6" t="str">
        <f t="shared" si="10"/>
        <v>600063</v>
      </c>
      <c r="C71" s="7" t="str">
        <f>"5860406013409"</f>
        <v>5860406013409</v>
      </c>
      <c r="D71" s="2">
        <v>58</v>
      </c>
      <c r="E71" s="8">
        <f t="shared" si="9"/>
        <v>29</v>
      </c>
      <c r="F71" s="2"/>
      <c r="G71" s="2"/>
      <c r="H71" s="9"/>
      <c r="I71" s="10">
        <v>29</v>
      </c>
      <c r="J71" s="11">
        <v>28</v>
      </c>
      <c r="K71" s="18" t="s">
        <v>12</v>
      </c>
    </row>
    <row r="72" spans="1:11" s="12" customFormat="1" ht="18" customHeight="1">
      <c r="A72" s="6" t="str">
        <f>"贺琅"</f>
        <v>贺琅</v>
      </c>
      <c r="B72" s="6" t="str">
        <f t="shared" si="10"/>
        <v>600063</v>
      </c>
      <c r="C72" s="7" t="str">
        <f>"5860406013413"</f>
        <v>5860406013413</v>
      </c>
      <c r="D72" s="2">
        <v>58</v>
      </c>
      <c r="E72" s="8">
        <f t="shared" si="9"/>
        <v>29</v>
      </c>
      <c r="F72" s="2"/>
      <c r="G72" s="2"/>
      <c r="H72" s="9"/>
      <c r="I72" s="10">
        <v>29</v>
      </c>
      <c r="J72" s="11">
        <v>28</v>
      </c>
      <c r="K72" s="18" t="s">
        <v>14</v>
      </c>
    </row>
    <row r="73" spans="1:11" s="12" customFormat="1" ht="18" customHeight="1">
      <c r="A73" s="6" t="str">
        <f>"饶兴丽"</f>
        <v>饶兴丽</v>
      </c>
      <c r="B73" s="6" t="str">
        <f>"600064"</f>
        <v>600064</v>
      </c>
      <c r="C73" s="7" t="str">
        <f>"5860406013502"</f>
        <v>5860406013502</v>
      </c>
      <c r="D73" s="2">
        <v>60</v>
      </c>
      <c r="E73" s="8">
        <f aca="true" t="shared" si="11" ref="E73:E80">(D73+H73)*0.5</f>
        <v>30</v>
      </c>
      <c r="F73" s="2"/>
      <c r="G73" s="2"/>
      <c r="H73" s="9"/>
      <c r="I73" s="10">
        <v>30</v>
      </c>
      <c r="J73" s="11">
        <v>22</v>
      </c>
      <c r="K73" s="18" t="s">
        <v>12</v>
      </c>
    </row>
    <row r="74" spans="1:11" s="12" customFormat="1" ht="18" customHeight="1">
      <c r="A74" s="6" t="str">
        <f>"刘昌琴"</f>
        <v>刘昌琴</v>
      </c>
      <c r="B74" s="6" t="str">
        <f>"600064"</f>
        <v>600064</v>
      </c>
      <c r="C74" s="7" t="str">
        <f>"5860406013507"</f>
        <v>5860406013507</v>
      </c>
      <c r="D74" s="2">
        <v>60</v>
      </c>
      <c r="E74" s="8">
        <f t="shared" si="11"/>
        <v>30</v>
      </c>
      <c r="F74" s="2"/>
      <c r="G74" s="2"/>
      <c r="H74" s="9"/>
      <c r="I74" s="10">
        <v>30</v>
      </c>
      <c r="J74" s="11">
        <v>22</v>
      </c>
      <c r="K74" s="18" t="s">
        <v>12</v>
      </c>
    </row>
    <row r="75" spans="1:11" s="12" customFormat="1" ht="18" customHeight="1">
      <c r="A75" s="6" t="str">
        <f>"李文欢"</f>
        <v>李文欢</v>
      </c>
      <c r="B75" s="6" t="str">
        <f>"600064"</f>
        <v>600064</v>
      </c>
      <c r="C75" s="7" t="str">
        <f>"5860406013520"</f>
        <v>5860406013520</v>
      </c>
      <c r="D75" s="2">
        <v>60</v>
      </c>
      <c r="E75" s="8">
        <f t="shared" si="11"/>
        <v>30</v>
      </c>
      <c r="F75" s="2"/>
      <c r="G75" s="2"/>
      <c r="H75" s="9"/>
      <c r="I75" s="10">
        <v>30</v>
      </c>
      <c r="J75" s="11">
        <v>22</v>
      </c>
      <c r="K75" s="18" t="s">
        <v>14</v>
      </c>
    </row>
    <row r="76" spans="1:11" s="12" customFormat="1" ht="18" customHeight="1">
      <c r="A76" s="6" t="str">
        <f>"唐珊"</f>
        <v>唐珊</v>
      </c>
      <c r="B76" s="6" t="str">
        <f>"600066"</f>
        <v>600066</v>
      </c>
      <c r="C76" s="7" t="str">
        <f>"5860406013701"</f>
        <v>5860406013701</v>
      </c>
      <c r="D76" s="2">
        <v>59</v>
      </c>
      <c r="E76" s="8">
        <f t="shared" si="11"/>
        <v>29.5</v>
      </c>
      <c r="F76" s="2"/>
      <c r="G76" s="2"/>
      <c r="H76" s="9"/>
      <c r="I76" s="10">
        <v>29.5</v>
      </c>
      <c r="J76" s="11">
        <v>31</v>
      </c>
      <c r="K76" s="18" t="s">
        <v>12</v>
      </c>
    </row>
    <row r="77" spans="1:11" s="12" customFormat="1" ht="18" customHeight="1">
      <c r="A77" s="6" t="str">
        <f>"梅超群"</f>
        <v>梅超群</v>
      </c>
      <c r="B77" s="6" t="str">
        <f>"600066"</f>
        <v>600066</v>
      </c>
      <c r="C77" s="7" t="str">
        <f>"5860406013715"</f>
        <v>5860406013715</v>
      </c>
      <c r="D77" s="2">
        <v>58</v>
      </c>
      <c r="E77" s="8">
        <f t="shared" si="11"/>
        <v>29</v>
      </c>
      <c r="F77" s="2"/>
      <c r="G77" s="2"/>
      <c r="H77" s="9"/>
      <c r="I77" s="10">
        <v>29</v>
      </c>
      <c r="J77" s="11">
        <v>32</v>
      </c>
      <c r="K77" s="18" t="s">
        <v>12</v>
      </c>
    </row>
    <row r="78" spans="1:11" s="12" customFormat="1" ht="18" customHeight="1">
      <c r="A78" s="6" t="str">
        <f>"冯莉"</f>
        <v>冯莉</v>
      </c>
      <c r="B78" s="6" t="str">
        <f>"600066"</f>
        <v>600066</v>
      </c>
      <c r="C78" s="7" t="str">
        <f>"5860406013608"</f>
        <v>5860406013608</v>
      </c>
      <c r="D78" s="2">
        <v>57</v>
      </c>
      <c r="E78" s="8">
        <f t="shared" si="11"/>
        <v>28.5</v>
      </c>
      <c r="F78" s="2"/>
      <c r="G78" s="2"/>
      <c r="H78" s="9"/>
      <c r="I78" s="10">
        <v>28.5</v>
      </c>
      <c r="J78" s="11">
        <v>33</v>
      </c>
      <c r="K78" s="18" t="s">
        <v>14</v>
      </c>
    </row>
    <row r="79" spans="1:11" s="12" customFormat="1" ht="18" customHeight="1">
      <c r="A79" s="6" t="str">
        <f>"刘慧君"</f>
        <v>刘慧君</v>
      </c>
      <c r="B79" s="6" t="str">
        <f>"600066"</f>
        <v>600066</v>
      </c>
      <c r="C79" s="7" t="str">
        <f>"5860406013622"</f>
        <v>5860406013622</v>
      </c>
      <c r="D79" s="2">
        <v>57</v>
      </c>
      <c r="E79" s="8">
        <f t="shared" si="11"/>
        <v>28.5</v>
      </c>
      <c r="F79" s="2"/>
      <c r="G79" s="2"/>
      <c r="H79" s="9"/>
      <c r="I79" s="10">
        <v>28.5</v>
      </c>
      <c r="J79" s="11">
        <v>33</v>
      </c>
      <c r="K79" s="18" t="s">
        <v>14</v>
      </c>
    </row>
    <row r="80" spans="1:11" s="12" customFormat="1" ht="18" customHeight="1">
      <c r="A80" s="6" t="str">
        <f>"谢琳"</f>
        <v>谢琳</v>
      </c>
      <c r="B80" s="6" t="str">
        <f>"600066"</f>
        <v>600066</v>
      </c>
      <c r="C80" s="7" t="str">
        <f>"5860406013718"</f>
        <v>5860406013718</v>
      </c>
      <c r="D80" s="2">
        <v>57</v>
      </c>
      <c r="E80" s="8">
        <f t="shared" si="11"/>
        <v>28.5</v>
      </c>
      <c r="F80" s="2"/>
      <c r="G80" s="2"/>
      <c r="H80" s="9"/>
      <c r="I80" s="10">
        <v>28.5</v>
      </c>
      <c r="J80" s="11">
        <v>33</v>
      </c>
      <c r="K80" s="18" t="s">
        <v>12</v>
      </c>
    </row>
    <row r="81" spans="1:11" s="12" customFormat="1" ht="18" customHeight="1">
      <c r="A81" s="6" t="str">
        <f>"赵丽华"</f>
        <v>赵丽华</v>
      </c>
      <c r="B81" s="6" t="str">
        <f aca="true" t="shared" si="12" ref="B81:B86">"600067"</f>
        <v>600067</v>
      </c>
      <c r="C81" s="7" t="str">
        <f>"5860406013811"</f>
        <v>5860406013811</v>
      </c>
      <c r="D81" s="2">
        <v>53</v>
      </c>
      <c r="E81" s="8">
        <f aca="true" t="shared" si="13" ref="E81:E86">(D81+H81)*0.5</f>
        <v>26.5</v>
      </c>
      <c r="F81" s="2"/>
      <c r="G81" s="2"/>
      <c r="H81" s="9"/>
      <c r="I81" s="10">
        <v>26.5</v>
      </c>
      <c r="J81" s="11">
        <v>31</v>
      </c>
      <c r="K81" s="18" t="s">
        <v>14</v>
      </c>
    </row>
    <row r="82" spans="1:11" s="12" customFormat="1" ht="18" customHeight="1">
      <c r="A82" s="6" t="str">
        <f>"谢小兰"</f>
        <v>谢小兰</v>
      </c>
      <c r="B82" s="6" t="str">
        <f t="shared" si="12"/>
        <v>600067</v>
      </c>
      <c r="C82" s="7" t="str">
        <f>"5860406013821"</f>
        <v>5860406013821</v>
      </c>
      <c r="D82" s="2">
        <v>52</v>
      </c>
      <c r="E82" s="8">
        <f t="shared" si="13"/>
        <v>26</v>
      </c>
      <c r="F82" s="2"/>
      <c r="G82" s="2"/>
      <c r="H82" s="9"/>
      <c r="I82" s="10">
        <v>26</v>
      </c>
      <c r="J82" s="11">
        <v>32</v>
      </c>
      <c r="K82" s="18" t="s">
        <v>12</v>
      </c>
    </row>
    <row r="83" spans="1:11" s="12" customFormat="1" ht="18" customHeight="1">
      <c r="A83" s="6" t="str">
        <f>"周海红"</f>
        <v>周海红</v>
      </c>
      <c r="B83" s="6" t="str">
        <f t="shared" si="12"/>
        <v>600067</v>
      </c>
      <c r="C83" s="7" t="str">
        <f>"5860406013909"</f>
        <v>5860406013909</v>
      </c>
      <c r="D83" s="2">
        <v>52</v>
      </c>
      <c r="E83" s="8">
        <f t="shared" si="13"/>
        <v>26</v>
      </c>
      <c r="F83" s="2"/>
      <c r="G83" s="2"/>
      <c r="H83" s="9"/>
      <c r="I83" s="10">
        <v>26</v>
      </c>
      <c r="J83" s="11">
        <v>32</v>
      </c>
      <c r="K83" s="18" t="s">
        <v>12</v>
      </c>
    </row>
    <row r="84" spans="1:11" s="12" customFormat="1" ht="18" customHeight="1">
      <c r="A84" s="6" t="str">
        <f>"李鸿"</f>
        <v>李鸿</v>
      </c>
      <c r="B84" s="6" t="str">
        <f t="shared" si="12"/>
        <v>600067</v>
      </c>
      <c r="C84" s="7" t="str">
        <f>"5860406013814"</f>
        <v>5860406013814</v>
      </c>
      <c r="D84" s="2">
        <v>49</v>
      </c>
      <c r="E84" s="8">
        <f t="shared" si="13"/>
        <v>24.5</v>
      </c>
      <c r="F84" s="2"/>
      <c r="G84" s="2"/>
      <c r="H84" s="9"/>
      <c r="I84" s="10">
        <v>24.5</v>
      </c>
      <c r="J84" s="11">
        <v>34</v>
      </c>
      <c r="K84" s="18" t="s">
        <v>14</v>
      </c>
    </row>
    <row r="85" spans="1:11" s="12" customFormat="1" ht="18" customHeight="1">
      <c r="A85" s="6" t="str">
        <f>"李丹"</f>
        <v>李丹</v>
      </c>
      <c r="B85" s="6" t="str">
        <f t="shared" si="12"/>
        <v>600067</v>
      </c>
      <c r="C85" s="7" t="str">
        <f>"5860406013817"</f>
        <v>5860406013817</v>
      </c>
      <c r="D85" s="2">
        <v>46</v>
      </c>
      <c r="E85" s="8">
        <f t="shared" si="13"/>
        <v>23</v>
      </c>
      <c r="F85" s="2"/>
      <c r="G85" s="2"/>
      <c r="H85" s="9"/>
      <c r="I85" s="10">
        <v>23</v>
      </c>
      <c r="J85" s="11">
        <v>35</v>
      </c>
      <c r="K85" s="18" t="s">
        <v>12</v>
      </c>
    </row>
    <row r="86" spans="1:11" s="12" customFormat="1" ht="18" customHeight="1">
      <c r="A86" s="6" t="str">
        <f>"王丽君"</f>
        <v>王丽君</v>
      </c>
      <c r="B86" s="6" t="str">
        <f t="shared" si="12"/>
        <v>600067</v>
      </c>
      <c r="C86" s="7" t="str">
        <f>"5860406013823"</f>
        <v>5860406013823</v>
      </c>
      <c r="D86" s="2">
        <v>46</v>
      </c>
      <c r="E86" s="8">
        <f t="shared" si="13"/>
        <v>23</v>
      </c>
      <c r="F86" s="2"/>
      <c r="G86" s="2"/>
      <c r="H86" s="9"/>
      <c r="I86" s="10">
        <v>23</v>
      </c>
      <c r="J86" s="11">
        <v>35</v>
      </c>
      <c r="K86" s="18" t="s">
        <v>12</v>
      </c>
    </row>
    <row r="87" spans="1:11" s="12" customFormat="1" ht="18" customHeight="1">
      <c r="A87" s="6" t="str">
        <f>"唐艳华"</f>
        <v>唐艳华</v>
      </c>
      <c r="B87" s="6" t="str">
        <f aca="true" t="shared" si="14" ref="B87:B93">"600068"</f>
        <v>600068</v>
      </c>
      <c r="C87" s="7" t="str">
        <f>"5860406014005"</f>
        <v>5860406014005</v>
      </c>
      <c r="D87" s="2">
        <v>48</v>
      </c>
      <c r="E87" s="8">
        <f aca="true" t="shared" si="15" ref="E87:E93">(D87+H87)*0.5</f>
        <v>24</v>
      </c>
      <c r="F87" s="2"/>
      <c r="G87" s="2"/>
      <c r="H87" s="9"/>
      <c r="I87" s="10">
        <v>24</v>
      </c>
      <c r="J87" s="11">
        <v>36</v>
      </c>
      <c r="K87" s="18" t="s">
        <v>14</v>
      </c>
    </row>
    <row r="88" spans="1:11" s="12" customFormat="1" ht="18" customHeight="1">
      <c r="A88" s="6" t="str">
        <f>"姚宗琴"</f>
        <v>姚宗琴</v>
      </c>
      <c r="B88" s="6" t="str">
        <f t="shared" si="14"/>
        <v>600068</v>
      </c>
      <c r="C88" s="7" t="str">
        <f>"5860406014006"</f>
        <v>5860406014006</v>
      </c>
      <c r="D88" s="2">
        <v>48</v>
      </c>
      <c r="E88" s="8">
        <f t="shared" si="15"/>
        <v>24</v>
      </c>
      <c r="F88" s="2"/>
      <c r="G88" s="2"/>
      <c r="H88" s="9"/>
      <c r="I88" s="10">
        <v>24</v>
      </c>
      <c r="J88" s="11">
        <v>36</v>
      </c>
      <c r="K88" s="18" t="s">
        <v>12</v>
      </c>
    </row>
    <row r="89" spans="1:11" s="12" customFormat="1" ht="18" customHeight="1">
      <c r="A89" s="6" t="str">
        <f>"雷桂英"</f>
        <v>雷桂英</v>
      </c>
      <c r="B89" s="6" t="str">
        <f t="shared" si="14"/>
        <v>600068</v>
      </c>
      <c r="C89" s="7" t="str">
        <f>"5860406014011"</f>
        <v>5860406014011</v>
      </c>
      <c r="D89" s="2">
        <v>48</v>
      </c>
      <c r="E89" s="8">
        <f t="shared" si="15"/>
        <v>24</v>
      </c>
      <c r="F89" s="2"/>
      <c r="G89" s="2"/>
      <c r="H89" s="9"/>
      <c r="I89" s="10">
        <v>24</v>
      </c>
      <c r="J89" s="11">
        <v>36</v>
      </c>
      <c r="K89" s="18" t="s">
        <v>14</v>
      </c>
    </row>
    <row r="90" spans="1:11" s="12" customFormat="1" ht="18" customHeight="1">
      <c r="A90" s="6" t="str">
        <f>"谢钱梅"</f>
        <v>谢钱梅</v>
      </c>
      <c r="B90" s="6" t="str">
        <f t="shared" si="14"/>
        <v>600068</v>
      </c>
      <c r="C90" s="7" t="str">
        <f>"5860406014007"</f>
        <v>5860406014007</v>
      </c>
      <c r="D90" s="2">
        <v>46</v>
      </c>
      <c r="E90" s="8">
        <f t="shared" si="15"/>
        <v>23</v>
      </c>
      <c r="F90" s="2"/>
      <c r="G90" s="2"/>
      <c r="H90" s="9"/>
      <c r="I90" s="10">
        <v>23</v>
      </c>
      <c r="J90" s="11">
        <v>39</v>
      </c>
      <c r="K90" s="18" t="s">
        <v>12</v>
      </c>
    </row>
    <row r="91" spans="1:11" s="12" customFormat="1" ht="18" customHeight="1">
      <c r="A91" s="6" t="str">
        <f>"徐辉敏"</f>
        <v>徐辉敏</v>
      </c>
      <c r="B91" s="6" t="str">
        <f t="shared" si="14"/>
        <v>600068</v>
      </c>
      <c r="C91" s="7" t="str">
        <f>"5860406013920"</f>
        <v>5860406013920</v>
      </c>
      <c r="D91" s="2">
        <v>43</v>
      </c>
      <c r="E91" s="8">
        <f t="shared" si="15"/>
        <v>21.5</v>
      </c>
      <c r="F91" s="2"/>
      <c r="G91" s="2"/>
      <c r="H91" s="9"/>
      <c r="I91" s="10">
        <v>21.5</v>
      </c>
      <c r="J91" s="11">
        <v>40</v>
      </c>
      <c r="K91" s="18" t="s">
        <v>12</v>
      </c>
    </row>
    <row r="92" spans="1:11" s="12" customFormat="1" ht="18" customHeight="1">
      <c r="A92" s="6" t="str">
        <f>"徐鹏"</f>
        <v>徐鹏</v>
      </c>
      <c r="B92" s="6" t="str">
        <f t="shared" si="14"/>
        <v>600068</v>
      </c>
      <c r="C92" s="7" t="str">
        <f>"5860406014020"</f>
        <v>5860406014020</v>
      </c>
      <c r="D92" s="2">
        <v>41</v>
      </c>
      <c r="E92" s="8">
        <f t="shared" si="15"/>
        <v>20.5</v>
      </c>
      <c r="F92" s="2"/>
      <c r="G92" s="2"/>
      <c r="H92" s="9"/>
      <c r="I92" s="10">
        <v>20.5</v>
      </c>
      <c r="J92" s="11">
        <v>41</v>
      </c>
      <c r="K92" s="18" t="s">
        <v>14</v>
      </c>
    </row>
    <row r="93" spans="1:11" s="12" customFormat="1" ht="18" customHeight="1">
      <c r="A93" s="6" t="str">
        <f>"张智容"</f>
        <v>张智容</v>
      </c>
      <c r="B93" s="6" t="str">
        <f t="shared" si="14"/>
        <v>600068</v>
      </c>
      <c r="C93" s="7" t="str">
        <f>"5860406014022"</f>
        <v>5860406014022</v>
      </c>
      <c r="D93" s="2">
        <v>40</v>
      </c>
      <c r="E93" s="8">
        <f t="shared" si="15"/>
        <v>20</v>
      </c>
      <c r="F93" s="2"/>
      <c r="G93" s="2"/>
      <c r="H93" s="9"/>
      <c r="I93" s="10">
        <v>20</v>
      </c>
      <c r="J93" s="11">
        <v>42</v>
      </c>
      <c r="K93" s="18" t="s">
        <v>12</v>
      </c>
    </row>
    <row r="94" spans="1:11" s="12" customFormat="1" ht="18" customHeight="1">
      <c r="A94" s="6" t="str">
        <f>"杨鑫"</f>
        <v>杨鑫</v>
      </c>
      <c r="B94" s="6" t="str">
        <f>"600069"</f>
        <v>600069</v>
      </c>
      <c r="C94" s="7" t="str">
        <f>"5860406014114"</f>
        <v>5860406014114</v>
      </c>
      <c r="D94" s="2">
        <v>58</v>
      </c>
      <c r="E94" s="8">
        <f>(D94+H94)*0.5</f>
        <v>29</v>
      </c>
      <c r="F94" s="2"/>
      <c r="G94" s="2"/>
      <c r="H94" s="9"/>
      <c r="I94" s="10">
        <v>29</v>
      </c>
      <c r="J94" s="11">
        <v>42</v>
      </c>
      <c r="K94" s="18" t="s">
        <v>14</v>
      </c>
    </row>
    <row r="95" spans="1:11" s="12" customFormat="1" ht="18" customHeight="1">
      <c r="A95" s="6" t="str">
        <f>"李莉"</f>
        <v>李莉</v>
      </c>
      <c r="B95" s="6" t="str">
        <f>"600069"</f>
        <v>600069</v>
      </c>
      <c r="C95" s="7" t="str">
        <f>"5860406014206"</f>
        <v>5860406014206</v>
      </c>
      <c r="D95" s="2">
        <v>58</v>
      </c>
      <c r="E95" s="8">
        <f>(D95+H95)*0.5</f>
        <v>29</v>
      </c>
      <c r="F95" s="2"/>
      <c r="G95" s="2"/>
      <c r="H95" s="9"/>
      <c r="I95" s="10">
        <v>29</v>
      </c>
      <c r="J95" s="11">
        <v>42</v>
      </c>
      <c r="K95" s="18" t="s">
        <v>12</v>
      </c>
    </row>
    <row r="96" spans="1:11" s="12" customFormat="1" ht="18" customHeight="1">
      <c r="A96" s="6" t="str">
        <f>"彭小于"</f>
        <v>彭小于</v>
      </c>
      <c r="B96" s="6" t="str">
        <f>"600069"</f>
        <v>600069</v>
      </c>
      <c r="C96" s="7" t="str">
        <f>"5860406014219"</f>
        <v>5860406014219</v>
      </c>
      <c r="D96" s="2">
        <v>58</v>
      </c>
      <c r="E96" s="8">
        <f>(D96+H96)*0.5</f>
        <v>29</v>
      </c>
      <c r="F96" s="2"/>
      <c r="G96" s="2"/>
      <c r="H96" s="9"/>
      <c r="I96" s="10">
        <v>29</v>
      </c>
      <c r="J96" s="11">
        <v>42</v>
      </c>
      <c r="K96" s="18" t="s">
        <v>12</v>
      </c>
    </row>
    <row r="97" spans="1:11" s="12" customFormat="1" ht="18" customHeight="1">
      <c r="A97" s="6" t="str">
        <f>"王馨悦"</f>
        <v>王馨悦</v>
      </c>
      <c r="B97" s="6" t="str">
        <f>"600069"</f>
        <v>600069</v>
      </c>
      <c r="C97" s="7" t="str">
        <f>"5860406014315"</f>
        <v>5860406014315</v>
      </c>
      <c r="D97" s="2">
        <v>58</v>
      </c>
      <c r="E97" s="8">
        <f>(D97+H97)*0.5</f>
        <v>29</v>
      </c>
      <c r="F97" s="2"/>
      <c r="G97" s="2"/>
      <c r="H97" s="9"/>
      <c r="I97" s="10">
        <v>29</v>
      </c>
      <c r="J97" s="11">
        <v>42</v>
      </c>
      <c r="K97" s="18" t="s">
        <v>12</v>
      </c>
    </row>
    <row r="98" spans="1:11" s="12" customFormat="1" ht="18" customHeight="1">
      <c r="A98" s="6" t="str">
        <f>"徐尚杰"</f>
        <v>徐尚杰</v>
      </c>
      <c r="B98" s="6" t="str">
        <f>"600069"</f>
        <v>600069</v>
      </c>
      <c r="C98" s="7" t="str">
        <f>"5860406014320"</f>
        <v>5860406014320</v>
      </c>
      <c r="D98" s="2">
        <v>58</v>
      </c>
      <c r="E98" s="8">
        <f>(D98+H98)*0.5</f>
        <v>29</v>
      </c>
      <c r="F98" s="2"/>
      <c r="G98" s="2"/>
      <c r="H98" s="9"/>
      <c r="I98" s="10">
        <v>29</v>
      </c>
      <c r="J98" s="11">
        <v>42</v>
      </c>
      <c r="K98" s="18" t="s">
        <v>14</v>
      </c>
    </row>
    <row r="99" spans="1:11" s="12" customFormat="1" ht="18" customHeight="1">
      <c r="A99" s="6" t="str">
        <f>"周英"</f>
        <v>周英</v>
      </c>
      <c r="B99" s="6" t="str">
        <f aca="true" t="shared" si="16" ref="B99:B104">"600070"</f>
        <v>600070</v>
      </c>
      <c r="C99" s="7" t="str">
        <f>"5860406014502"</f>
        <v>5860406014502</v>
      </c>
      <c r="D99" s="2">
        <v>55</v>
      </c>
      <c r="E99" s="8">
        <f aca="true" t="shared" si="17" ref="E99:E104">(D99+H99)*0.5</f>
        <v>27.5</v>
      </c>
      <c r="F99" s="2"/>
      <c r="G99" s="2"/>
      <c r="H99" s="9"/>
      <c r="I99" s="10">
        <v>27.5</v>
      </c>
      <c r="J99" s="11">
        <v>38</v>
      </c>
      <c r="K99" s="18" t="s">
        <v>12</v>
      </c>
    </row>
    <row r="100" spans="1:11" s="12" customFormat="1" ht="18" customHeight="1">
      <c r="A100" s="6" t="str">
        <f>"彭博"</f>
        <v>彭博</v>
      </c>
      <c r="B100" s="6" t="str">
        <f t="shared" si="16"/>
        <v>600070</v>
      </c>
      <c r="C100" s="7" t="str">
        <f>"5860406014401"</f>
        <v>5860406014401</v>
      </c>
      <c r="D100" s="2">
        <v>54</v>
      </c>
      <c r="E100" s="8">
        <f t="shared" si="17"/>
        <v>27</v>
      </c>
      <c r="F100" s="2"/>
      <c r="G100" s="2"/>
      <c r="H100" s="9"/>
      <c r="I100" s="10">
        <v>27</v>
      </c>
      <c r="J100" s="11">
        <v>39</v>
      </c>
      <c r="K100" s="18" t="s">
        <v>14</v>
      </c>
    </row>
    <row r="101" spans="1:11" s="12" customFormat="1" ht="18" customHeight="1">
      <c r="A101" s="6" t="str">
        <f>"朱高兰"</f>
        <v>朱高兰</v>
      </c>
      <c r="B101" s="6" t="str">
        <f t="shared" si="16"/>
        <v>600070</v>
      </c>
      <c r="C101" s="7" t="str">
        <f>"5860406014411"</f>
        <v>5860406014411</v>
      </c>
      <c r="D101" s="2">
        <v>53</v>
      </c>
      <c r="E101" s="8">
        <f t="shared" si="17"/>
        <v>26.5</v>
      </c>
      <c r="F101" s="2"/>
      <c r="G101" s="2"/>
      <c r="H101" s="9"/>
      <c r="I101" s="10">
        <v>26.5</v>
      </c>
      <c r="J101" s="11">
        <v>40</v>
      </c>
      <c r="K101" s="18" t="s">
        <v>14</v>
      </c>
    </row>
    <row r="102" spans="1:11" s="12" customFormat="1" ht="18" customHeight="1">
      <c r="A102" s="6" t="str">
        <f>"邓艳"</f>
        <v>邓艳</v>
      </c>
      <c r="B102" s="6" t="str">
        <f t="shared" si="16"/>
        <v>600070</v>
      </c>
      <c r="C102" s="7" t="str">
        <f>"5860406014424"</f>
        <v>5860406014424</v>
      </c>
      <c r="D102" s="2">
        <v>53</v>
      </c>
      <c r="E102" s="8">
        <f t="shared" si="17"/>
        <v>26.5</v>
      </c>
      <c r="F102" s="2"/>
      <c r="G102" s="2"/>
      <c r="H102" s="9"/>
      <c r="I102" s="10">
        <v>26.5</v>
      </c>
      <c r="J102" s="11">
        <v>40</v>
      </c>
      <c r="K102" s="18" t="s">
        <v>14</v>
      </c>
    </row>
    <row r="103" spans="1:11" s="12" customFormat="1" ht="18" customHeight="1">
      <c r="A103" s="6" t="str">
        <f>"谭杰"</f>
        <v>谭杰</v>
      </c>
      <c r="B103" s="6" t="str">
        <f t="shared" si="16"/>
        <v>600070</v>
      </c>
      <c r="C103" s="7" t="str">
        <f>"5860406014428"</f>
        <v>5860406014428</v>
      </c>
      <c r="D103" s="2">
        <v>53</v>
      </c>
      <c r="E103" s="8">
        <f t="shared" si="17"/>
        <v>26.5</v>
      </c>
      <c r="F103" s="2"/>
      <c r="G103" s="2"/>
      <c r="H103" s="9"/>
      <c r="I103" s="10">
        <v>26.5</v>
      </c>
      <c r="J103" s="11">
        <v>40</v>
      </c>
      <c r="K103" s="18" t="s">
        <v>14</v>
      </c>
    </row>
    <row r="104" spans="1:11" s="12" customFormat="1" ht="18" customHeight="1">
      <c r="A104" s="6" t="str">
        <f>"卢凤琴"</f>
        <v>卢凤琴</v>
      </c>
      <c r="B104" s="6" t="str">
        <f t="shared" si="16"/>
        <v>600070</v>
      </c>
      <c r="C104" s="7" t="str">
        <f>"5860406014516"</f>
        <v>5860406014516</v>
      </c>
      <c r="D104" s="2">
        <v>53</v>
      </c>
      <c r="E104" s="8">
        <f t="shared" si="17"/>
        <v>26.5</v>
      </c>
      <c r="F104" s="2"/>
      <c r="G104" s="2"/>
      <c r="H104" s="9"/>
      <c r="I104" s="10">
        <v>26.5</v>
      </c>
      <c r="J104" s="11">
        <v>40</v>
      </c>
      <c r="K104" s="18" t="s">
        <v>12</v>
      </c>
    </row>
    <row r="105" spans="1:11" s="12" customFormat="1" ht="18" customHeight="1">
      <c r="A105" s="6" t="str">
        <f>"盛小丽"</f>
        <v>盛小丽</v>
      </c>
      <c r="B105" s="6" t="str">
        <f aca="true" t="shared" si="18" ref="B105:B112">"600071"</f>
        <v>600071</v>
      </c>
      <c r="C105" s="7" t="str">
        <f>"5860406020212"</f>
        <v>5860406020212</v>
      </c>
      <c r="D105" s="2">
        <v>49</v>
      </c>
      <c r="E105" s="8">
        <f aca="true" t="shared" si="19" ref="E105:E112">(D105+H105)*0.5</f>
        <v>31.5</v>
      </c>
      <c r="F105" s="2"/>
      <c r="G105" s="2"/>
      <c r="H105" s="9">
        <v>14</v>
      </c>
      <c r="I105" s="10">
        <v>31.5</v>
      </c>
      <c r="J105" s="11">
        <v>42</v>
      </c>
      <c r="K105" s="18" t="s">
        <v>12</v>
      </c>
    </row>
    <row r="106" spans="1:11" s="12" customFormat="1" ht="18" customHeight="1">
      <c r="A106" s="6" t="str">
        <f>"沈山川"</f>
        <v>沈山川</v>
      </c>
      <c r="B106" s="6" t="str">
        <f t="shared" si="18"/>
        <v>600071</v>
      </c>
      <c r="C106" s="7" t="str">
        <f>"5860406014529"</f>
        <v>5860406014529</v>
      </c>
      <c r="D106" s="2">
        <v>62</v>
      </c>
      <c r="E106" s="8">
        <f t="shared" si="19"/>
        <v>31</v>
      </c>
      <c r="F106" s="2"/>
      <c r="G106" s="2"/>
      <c r="H106" s="9"/>
      <c r="I106" s="10">
        <v>31</v>
      </c>
      <c r="J106" s="11">
        <v>43</v>
      </c>
      <c r="K106" s="18" t="s">
        <v>14</v>
      </c>
    </row>
    <row r="107" spans="1:11" s="12" customFormat="1" ht="18" customHeight="1">
      <c r="A107" s="6" t="str">
        <f>"周海燕"</f>
        <v>周海燕</v>
      </c>
      <c r="B107" s="6" t="str">
        <f t="shared" si="18"/>
        <v>600071</v>
      </c>
      <c r="C107" s="7" t="str">
        <f>"5860406020108"</f>
        <v>5860406020108</v>
      </c>
      <c r="D107" s="2">
        <v>62</v>
      </c>
      <c r="E107" s="8">
        <f t="shared" si="19"/>
        <v>31</v>
      </c>
      <c r="F107" s="2"/>
      <c r="G107" s="2"/>
      <c r="H107" s="9"/>
      <c r="I107" s="10">
        <v>31</v>
      </c>
      <c r="J107" s="11">
        <v>43</v>
      </c>
      <c r="K107" s="18" t="s">
        <v>12</v>
      </c>
    </row>
    <row r="108" spans="1:11" s="12" customFormat="1" ht="18" customHeight="1">
      <c r="A108" s="6" t="str">
        <f>"刘华男"</f>
        <v>刘华男</v>
      </c>
      <c r="B108" s="6" t="str">
        <f t="shared" si="18"/>
        <v>600071</v>
      </c>
      <c r="C108" s="7" t="str">
        <f>"5860406020120"</f>
        <v>5860406020120</v>
      </c>
      <c r="D108" s="2">
        <v>62</v>
      </c>
      <c r="E108" s="8">
        <f t="shared" si="19"/>
        <v>31</v>
      </c>
      <c r="F108" s="2"/>
      <c r="G108" s="2"/>
      <c r="H108" s="9"/>
      <c r="I108" s="10">
        <v>31</v>
      </c>
      <c r="J108" s="11">
        <v>43</v>
      </c>
      <c r="K108" s="18" t="s">
        <v>12</v>
      </c>
    </row>
    <row r="109" spans="1:11" s="12" customFormat="1" ht="18" customHeight="1">
      <c r="A109" s="6" t="str">
        <f>"马琪琪"</f>
        <v>马琪琪</v>
      </c>
      <c r="B109" s="6" t="str">
        <f t="shared" si="18"/>
        <v>600071</v>
      </c>
      <c r="C109" s="7" t="str">
        <f>"5860406020202"</f>
        <v>5860406020202</v>
      </c>
      <c r="D109" s="2">
        <v>62</v>
      </c>
      <c r="E109" s="8">
        <f t="shared" si="19"/>
        <v>31</v>
      </c>
      <c r="F109" s="2"/>
      <c r="G109" s="2"/>
      <c r="H109" s="9"/>
      <c r="I109" s="10">
        <v>31</v>
      </c>
      <c r="J109" s="11">
        <v>43</v>
      </c>
      <c r="K109" s="18" t="s">
        <v>12</v>
      </c>
    </row>
    <row r="110" spans="1:11" s="12" customFormat="1" ht="18" customHeight="1">
      <c r="A110" s="6" t="str">
        <f>"罗小婷"</f>
        <v>罗小婷</v>
      </c>
      <c r="B110" s="6" t="str">
        <f t="shared" si="18"/>
        <v>600071</v>
      </c>
      <c r="C110" s="7" t="str">
        <f>"5860406020207"</f>
        <v>5860406020207</v>
      </c>
      <c r="D110" s="2">
        <v>62</v>
      </c>
      <c r="E110" s="8">
        <f t="shared" si="19"/>
        <v>31</v>
      </c>
      <c r="F110" s="2"/>
      <c r="G110" s="2"/>
      <c r="H110" s="9"/>
      <c r="I110" s="10">
        <v>31</v>
      </c>
      <c r="J110" s="11">
        <v>43</v>
      </c>
      <c r="K110" s="18" t="s">
        <v>14</v>
      </c>
    </row>
    <row r="111" spans="1:11" s="12" customFormat="1" ht="18" customHeight="1">
      <c r="A111" s="6" t="str">
        <f>"龚登芹"</f>
        <v>龚登芹</v>
      </c>
      <c r="B111" s="6" t="str">
        <f t="shared" si="18"/>
        <v>600071</v>
      </c>
      <c r="C111" s="7" t="str">
        <f>"5860406020210"</f>
        <v>5860406020210</v>
      </c>
      <c r="D111" s="2">
        <v>62</v>
      </c>
      <c r="E111" s="8">
        <f t="shared" si="19"/>
        <v>31</v>
      </c>
      <c r="F111" s="2"/>
      <c r="G111" s="2"/>
      <c r="H111" s="9"/>
      <c r="I111" s="10">
        <v>31</v>
      </c>
      <c r="J111" s="11">
        <v>43</v>
      </c>
      <c r="K111" s="18" t="s">
        <v>12</v>
      </c>
    </row>
    <row r="112" spans="1:11" s="12" customFormat="1" ht="18" customHeight="1">
      <c r="A112" s="6" t="str">
        <f>"张艺蝶"</f>
        <v>张艺蝶</v>
      </c>
      <c r="B112" s="6" t="str">
        <f t="shared" si="18"/>
        <v>600071</v>
      </c>
      <c r="C112" s="7" t="str">
        <f>"5860406020319"</f>
        <v>5860406020319</v>
      </c>
      <c r="D112" s="2">
        <v>62</v>
      </c>
      <c r="E112" s="8">
        <f t="shared" si="19"/>
        <v>31</v>
      </c>
      <c r="F112" s="2"/>
      <c r="G112" s="2"/>
      <c r="H112" s="9"/>
      <c r="I112" s="10">
        <v>31</v>
      </c>
      <c r="J112" s="11">
        <v>43</v>
      </c>
      <c r="K112" s="18" t="s">
        <v>14</v>
      </c>
    </row>
    <row r="113" spans="1:11" s="12" customFormat="1" ht="18" customHeight="1">
      <c r="A113" s="6" t="str">
        <f>"邓舒丹"</f>
        <v>邓舒丹</v>
      </c>
      <c r="B113" s="6" t="str">
        <f aca="true" t="shared" si="20" ref="B113:B118">"600073"</f>
        <v>600073</v>
      </c>
      <c r="C113" s="7" t="str">
        <f>"5860406020930"</f>
        <v>5860406020930</v>
      </c>
      <c r="D113" s="2">
        <v>55</v>
      </c>
      <c r="E113" s="8">
        <f aca="true" t="shared" si="21" ref="E113:E118">(D113+H113)*0.5</f>
        <v>27.5</v>
      </c>
      <c r="F113" s="2"/>
      <c r="G113" s="2"/>
      <c r="H113" s="9"/>
      <c r="I113" s="10">
        <v>27.5</v>
      </c>
      <c r="J113" s="11">
        <v>48</v>
      </c>
      <c r="K113" s="18" t="s">
        <v>12</v>
      </c>
    </row>
    <row r="114" spans="1:11" s="12" customFormat="1" ht="18" customHeight="1">
      <c r="A114" s="6" t="str">
        <f>"何燕"</f>
        <v>何燕</v>
      </c>
      <c r="B114" s="6" t="str">
        <f t="shared" si="20"/>
        <v>600073</v>
      </c>
      <c r="C114" s="7" t="str">
        <f>"5860406020806"</f>
        <v>5860406020806</v>
      </c>
      <c r="D114" s="2">
        <v>54</v>
      </c>
      <c r="E114" s="8">
        <f t="shared" si="21"/>
        <v>27</v>
      </c>
      <c r="F114" s="2"/>
      <c r="G114" s="2"/>
      <c r="H114" s="9"/>
      <c r="I114" s="10">
        <v>27</v>
      </c>
      <c r="J114" s="11">
        <v>49</v>
      </c>
      <c r="K114" s="18" t="s">
        <v>12</v>
      </c>
    </row>
    <row r="115" spans="1:11" s="12" customFormat="1" ht="18" customHeight="1">
      <c r="A115" s="6" t="str">
        <f>"胡俪馨"</f>
        <v>胡俪馨</v>
      </c>
      <c r="B115" s="6" t="str">
        <f t="shared" si="20"/>
        <v>600073</v>
      </c>
      <c r="C115" s="7" t="str">
        <f>"5860406020808"</f>
        <v>5860406020808</v>
      </c>
      <c r="D115" s="2">
        <v>54</v>
      </c>
      <c r="E115" s="8">
        <f t="shared" si="21"/>
        <v>27</v>
      </c>
      <c r="F115" s="2"/>
      <c r="G115" s="2"/>
      <c r="H115" s="9"/>
      <c r="I115" s="10">
        <v>27</v>
      </c>
      <c r="J115" s="11">
        <v>49</v>
      </c>
      <c r="K115" s="18" t="s">
        <v>12</v>
      </c>
    </row>
    <row r="116" spans="1:11" s="12" customFormat="1" ht="18" customHeight="1">
      <c r="A116" s="6" t="str">
        <f>"石利娟"</f>
        <v>石利娟</v>
      </c>
      <c r="B116" s="6" t="str">
        <f t="shared" si="20"/>
        <v>600073</v>
      </c>
      <c r="C116" s="7" t="str">
        <f>"5860406020825"</f>
        <v>5860406020825</v>
      </c>
      <c r="D116" s="2">
        <v>53</v>
      </c>
      <c r="E116" s="8">
        <f t="shared" si="21"/>
        <v>26.5</v>
      </c>
      <c r="F116" s="2"/>
      <c r="G116" s="2"/>
      <c r="H116" s="9"/>
      <c r="I116" s="10">
        <v>26.5</v>
      </c>
      <c r="J116" s="11">
        <v>51</v>
      </c>
      <c r="K116" s="18" t="s">
        <v>14</v>
      </c>
    </row>
    <row r="117" spans="1:11" s="12" customFormat="1" ht="18" customHeight="1">
      <c r="A117" s="6" t="str">
        <f>"张小羽"</f>
        <v>张小羽</v>
      </c>
      <c r="B117" s="6" t="str">
        <f t="shared" si="20"/>
        <v>600073</v>
      </c>
      <c r="C117" s="7" t="str">
        <f>"5860406020828"</f>
        <v>5860406020828</v>
      </c>
      <c r="D117" s="2">
        <v>53</v>
      </c>
      <c r="E117" s="8">
        <f t="shared" si="21"/>
        <v>26.5</v>
      </c>
      <c r="F117" s="2"/>
      <c r="G117" s="2"/>
      <c r="H117" s="9"/>
      <c r="I117" s="10">
        <v>26.5</v>
      </c>
      <c r="J117" s="11">
        <v>51</v>
      </c>
      <c r="K117" s="18" t="s">
        <v>12</v>
      </c>
    </row>
    <row r="118" spans="1:11" s="12" customFormat="1" ht="18" customHeight="1">
      <c r="A118" s="6" t="str">
        <f>"李清明"</f>
        <v>李清明</v>
      </c>
      <c r="B118" s="6" t="str">
        <f t="shared" si="20"/>
        <v>600073</v>
      </c>
      <c r="C118" s="7" t="str">
        <f>"5860406020902"</f>
        <v>5860406020902</v>
      </c>
      <c r="D118" s="2">
        <v>53</v>
      </c>
      <c r="E118" s="8">
        <f t="shared" si="21"/>
        <v>26.5</v>
      </c>
      <c r="F118" s="2"/>
      <c r="G118" s="2"/>
      <c r="H118" s="9"/>
      <c r="I118" s="10">
        <v>26.5</v>
      </c>
      <c r="J118" s="11">
        <v>51</v>
      </c>
      <c r="K118" s="18" t="s">
        <v>14</v>
      </c>
    </row>
    <row r="119" spans="1:11" s="12" customFormat="1" ht="18" customHeight="1">
      <c r="A119" s="6" t="str">
        <f>"罗丽"</f>
        <v>罗丽</v>
      </c>
      <c r="B119" s="6" t="str">
        <f>"600074"</f>
        <v>600074</v>
      </c>
      <c r="C119" s="7" t="str">
        <f>"5860406021013"</f>
        <v>5860406021013</v>
      </c>
      <c r="D119" s="2">
        <v>52</v>
      </c>
      <c r="E119" s="8">
        <f aca="true" t="shared" si="22" ref="E119:E126">(D119+H119)*0.5</f>
        <v>26</v>
      </c>
      <c r="F119" s="2"/>
      <c r="G119" s="2"/>
      <c r="H119" s="9"/>
      <c r="I119" s="10">
        <v>26</v>
      </c>
      <c r="J119" s="11">
        <v>21</v>
      </c>
      <c r="K119" s="18" t="s">
        <v>12</v>
      </c>
    </row>
    <row r="120" spans="1:11" s="12" customFormat="1" ht="18" customHeight="1">
      <c r="A120" s="6" t="str">
        <f>"王奕"</f>
        <v>王奕</v>
      </c>
      <c r="B120" s="6" t="str">
        <f>"600075"</f>
        <v>600075</v>
      </c>
      <c r="C120" s="7" t="str">
        <f>"5860406021205"</f>
        <v>5860406021205</v>
      </c>
      <c r="D120" s="2">
        <v>53</v>
      </c>
      <c r="E120" s="8">
        <f t="shared" si="22"/>
        <v>26.5</v>
      </c>
      <c r="F120" s="2"/>
      <c r="G120" s="2"/>
      <c r="H120" s="9"/>
      <c r="I120" s="10">
        <v>26.5</v>
      </c>
      <c r="J120" s="11">
        <v>34</v>
      </c>
      <c r="K120" s="18" t="s">
        <v>14</v>
      </c>
    </row>
    <row r="121" spans="1:11" s="12" customFormat="1" ht="18" customHeight="1">
      <c r="A121" s="6" t="str">
        <f>"叶思恋"</f>
        <v>叶思恋</v>
      </c>
      <c r="B121" s="6" t="str">
        <f>"600075"</f>
        <v>600075</v>
      </c>
      <c r="C121" s="7" t="str">
        <f>"5860406021209"</f>
        <v>5860406021209</v>
      </c>
      <c r="D121" s="2">
        <v>53</v>
      </c>
      <c r="E121" s="8">
        <f t="shared" si="22"/>
        <v>26.5</v>
      </c>
      <c r="F121" s="2"/>
      <c r="G121" s="2"/>
      <c r="H121" s="9"/>
      <c r="I121" s="10">
        <v>26.5</v>
      </c>
      <c r="J121" s="11">
        <v>34</v>
      </c>
      <c r="K121" s="18" t="s">
        <v>12</v>
      </c>
    </row>
    <row r="122" spans="1:11" s="12" customFormat="1" ht="18" customHeight="1">
      <c r="A122" s="6" t="str">
        <f>"冷巧"</f>
        <v>冷巧</v>
      </c>
      <c r="B122" s="6" t="str">
        <f>"600076"</f>
        <v>600076</v>
      </c>
      <c r="C122" s="7" t="str">
        <f>"5860406021503"</f>
        <v>5860406021503</v>
      </c>
      <c r="D122" s="2">
        <v>58</v>
      </c>
      <c r="E122" s="8">
        <f t="shared" si="22"/>
        <v>30</v>
      </c>
      <c r="F122" s="2"/>
      <c r="G122" s="2"/>
      <c r="H122" s="9">
        <v>2</v>
      </c>
      <c r="I122" s="10">
        <v>30</v>
      </c>
      <c r="J122" s="11">
        <v>40</v>
      </c>
      <c r="K122" s="18" t="s">
        <v>14</v>
      </c>
    </row>
    <row r="123" spans="1:11" s="12" customFormat="1" ht="18" customHeight="1">
      <c r="A123" s="6" t="str">
        <f>"陈莉"</f>
        <v>陈莉</v>
      </c>
      <c r="B123" s="6" t="str">
        <f>"600077"</f>
        <v>600077</v>
      </c>
      <c r="C123" s="7" t="str">
        <f>"5860406021609"</f>
        <v>5860406021609</v>
      </c>
      <c r="D123" s="2">
        <v>54</v>
      </c>
      <c r="E123" s="8">
        <f t="shared" si="22"/>
        <v>27</v>
      </c>
      <c r="F123" s="2"/>
      <c r="G123" s="2"/>
      <c r="H123" s="9"/>
      <c r="I123" s="10">
        <v>27</v>
      </c>
      <c r="J123" s="11">
        <v>37</v>
      </c>
      <c r="K123" s="18" t="s">
        <v>12</v>
      </c>
    </row>
    <row r="124" spans="1:11" s="12" customFormat="1" ht="18" customHeight="1">
      <c r="A124" s="6" t="str">
        <f>"寿红"</f>
        <v>寿红</v>
      </c>
      <c r="B124" s="6" t="str">
        <f>"600077"</f>
        <v>600077</v>
      </c>
      <c r="C124" s="7" t="str">
        <f>"5860406021610"</f>
        <v>5860406021610</v>
      </c>
      <c r="D124" s="2">
        <v>54</v>
      </c>
      <c r="E124" s="8">
        <f t="shared" si="22"/>
        <v>27</v>
      </c>
      <c r="F124" s="2"/>
      <c r="G124" s="2"/>
      <c r="H124" s="9"/>
      <c r="I124" s="10">
        <v>27</v>
      </c>
      <c r="J124" s="11">
        <v>37</v>
      </c>
      <c r="K124" s="18" t="s">
        <v>14</v>
      </c>
    </row>
    <row r="125" spans="1:11" s="12" customFormat="1" ht="18" customHeight="1">
      <c r="A125" s="6" t="str">
        <f>"周巧"</f>
        <v>周巧</v>
      </c>
      <c r="B125" s="6" t="str">
        <f>"600078"</f>
        <v>600078</v>
      </c>
      <c r="C125" s="7" t="str">
        <f>"5860406021811"</f>
        <v>5860406021811</v>
      </c>
      <c r="D125" s="2">
        <v>58</v>
      </c>
      <c r="E125" s="8">
        <f t="shared" si="22"/>
        <v>29</v>
      </c>
      <c r="F125" s="2"/>
      <c r="G125" s="2"/>
      <c r="H125" s="9"/>
      <c r="I125" s="10">
        <v>29</v>
      </c>
      <c r="J125" s="11">
        <v>36</v>
      </c>
      <c r="K125" s="18" t="s">
        <v>12</v>
      </c>
    </row>
    <row r="126" spans="1:11" s="12" customFormat="1" ht="18" customHeight="1">
      <c r="A126" s="6" t="str">
        <f>"杨小慧"</f>
        <v>杨小慧</v>
      </c>
      <c r="B126" s="6" t="str">
        <f>"600079"</f>
        <v>600079</v>
      </c>
      <c r="C126" s="7" t="str">
        <f>"5860406022001"</f>
        <v>5860406022001</v>
      </c>
      <c r="D126" s="2">
        <v>40</v>
      </c>
      <c r="E126" s="8">
        <f t="shared" si="22"/>
        <v>20</v>
      </c>
      <c r="F126" s="2"/>
      <c r="G126" s="2"/>
      <c r="H126" s="9"/>
      <c r="I126" s="10">
        <v>20</v>
      </c>
      <c r="J126" s="11">
        <v>31</v>
      </c>
      <c r="K126" s="18" t="s">
        <v>12</v>
      </c>
    </row>
    <row r="127" spans="1:11" s="12" customFormat="1" ht="18" customHeight="1">
      <c r="A127" s="6" t="str">
        <f>"王秋萍"</f>
        <v>王秋萍</v>
      </c>
      <c r="B127" s="6" t="str">
        <f aca="true" t="shared" si="23" ref="B127:B132">"600080"</f>
        <v>600080</v>
      </c>
      <c r="C127" s="7" t="str">
        <f>"5860406022003"</f>
        <v>5860406022003</v>
      </c>
      <c r="D127" s="2">
        <v>64</v>
      </c>
      <c r="E127" s="8">
        <f aca="true" t="shared" si="24" ref="E127:E132">(D127+H127)*0.5</f>
        <v>32</v>
      </c>
      <c r="F127" s="2"/>
      <c r="G127" s="2"/>
      <c r="H127" s="9"/>
      <c r="I127" s="10">
        <v>32</v>
      </c>
      <c r="J127" s="11">
        <v>42</v>
      </c>
      <c r="K127" s="18" t="s">
        <v>14</v>
      </c>
    </row>
    <row r="128" spans="1:11" s="12" customFormat="1" ht="18" customHeight="1">
      <c r="A128" s="6" t="str">
        <f>"赵智慧"</f>
        <v>赵智慧</v>
      </c>
      <c r="B128" s="6" t="str">
        <f t="shared" si="23"/>
        <v>600080</v>
      </c>
      <c r="C128" s="7" t="str">
        <f>"5860406022012"</f>
        <v>5860406022012</v>
      </c>
      <c r="D128" s="2">
        <v>64</v>
      </c>
      <c r="E128" s="8">
        <f t="shared" si="24"/>
        <v>32</v>
      </c>
      <c r="F128" s="2"/>
      <c r="G128" s="2"/>
      <c r="H128" s="9"/>
      <c r="I128" s="10">
        <v>32</v>
      </c>
      <c r="J128" s="11">
        <v>42</v>
      </c>
      <c r="K128" s="18" t="s">
        <v>12</v>
      </c>
    </row>
    <row r="129" spans="1:11" s="12" customFormat="1" ht="18" customHeight="1">
      <c r="A129" s="6" t="str">
        <f>"王明亮"</f>
        <v>王明亮</v>
      </c>
      <c r="B129" s="6" t="str">
        <f t="shared" si="23"/>
        <v>600080</v>
      </c>
      <c r="C129" s="7" t="str">
        <f>"5860406022123"</f>
        <v>5860406022123</v>
      </c>
      <c r="D129" s="2">
        <v>64</v>
      </c>
      <c r="E129" s="8">
        <f t="shared" si="24"/>
        <v>32</v>
      </c>
      <c r="F129" s="2"/>
      <c r="G129" s="2"/>
      <c r="H129" s="9"/>
      <c r="I129" s="10">
        <v>32</v>
      </c>
      <c r="J129" s="11">
        <v>42</v>
      </c>
      <c r="K129" s="18" t="s">
        <v>12</v>
      </c>
    </row>
    <row r="130" spans="1:11" s="12" customFormat="1" ht="18" customHeight="1">
      <c r="A130" s="6" t="str">
        <f>"李月芳"</f>
        <v>李月芳</v>
      </c>
      <c r="B130" s="6" t="str">
        <f t="shared" si="23"/>
        <v>600080</v>
      </c>
      <c r="C130" s="7" t="str">
        <f>"5860406022125"</f>
        <v>5860406022125</v>
      </c>
      <c r="D130" s="2">
        <v>64</v>
      </c>
      <c r="E130" s="8">
        <f t="shared" si="24"/>
        <v>32</v>
      </c>
      <c r="F130" s="2"/>
      <c r="G130" s="2"/>
      <c r="H130" s="9"/>
      <c r="I130" s="10">
        <v>32</v>
      </c>
      <c r="J130" s="11">
        <v>42</v>
      </c>
      <c r="K130" s="18" t="s">
        <v>12</v>
      </c>
    </row>
    <row r="131" spans="1:11" s="12" customFormat="1" ht="18" customHeight="1">
      <c r="A131" s="6" t="str">
        <f>"刘呈娟"</f>
        <v>刘呈娟</v>
      </c>
      <c r="B131" s="6" t="str">
        <f t="shared" si="23"/>
        <v>600080</v>
      </c>
      <c r="C131" s="7" t="str">
        <f>"5860406022228"</f>
        <v>5860406022228</v>
      </c>
      <c r="D131" s="2">
        <v>64</v>
      </c>
      <c r="E131" s="8">
        <f t="shared" si="24"/>
        <v>32</v>
      </c>
      <c r="F131" s="2"/>
      <c r="G131" s="2"/>
      <c r="H131" s="9"/>
      <c r="I131" s="10">
        <v>32</v>
      </c>
      <c r="J131" s="11">
        <v>42</v>
      </c>
      <c r="K131" s="18" t="s">
        <v>12</v>
      </c>
    </row>
    <row r="132" spans="1:11" s="12" customFormat="1" ht="18" customHeight="1">
      <c r="A132" s="6" t="str">
        <f>"张邓荣"</f>
        <v>张邓荣</v>
      </c>
      <c r="B132" s="6" t="str">
        <f t="shared" si="23"/>
        <v>600080</v>
      </c>
      <c r="C132" s="7" t="str">
        <f>"5860406022310"</f>
        <v>5860406022310</v>
      </c>
      <c r="D132" s="2">
        <v>64</v>
      </c>
      <c r="E132" s="8">
        <f t="shared" si="24"/>
        <v>32</v>
      </c>
      <c r="F132" s="2"/>
      <c r="G132" s="2"/>
      <c r="H132" s="9"/>
      <c r="I132" s="10">
        <v>32</v>
      </c>
      <c r="J132" s="11">
        <v>42</v>
      </c>
      <c r="K132" s="18" t="s">
        <v>14</v>
      </c>
    </row>
    <row r="133" spans="1:11" s="12" customFormat="1" ht="18" customHeight="1">
      <c r="A133" s="6" t="str">
        <f>"董双"</f>
        <v>董双</v>
      </c>
      <c r="B133" s="6" t="str">
        <f aca="true" t="shared" si="25" ref="B133:B138">"600081"</f>
        <v>600081</v>
      </c>
      <c r="C133" s="7" t="str">
        <f>"5860406022409"</f>
        <v>5860406022409</v>
      </c>
      <c r="D133" s="2">
        <v>55</v>
      </c>
      <c r="E133" s="8">
        <f>(D133+H133)*0.5</f>
        <v>27.5</v>
      </c>
      <c r="F133" s="2"/>
      <c r="G133" s="2"/>
      <c r="H133" s="9"/>
      <c r="I133" s="10">
        <v>27.5</v>
      </c>
      <c r="J133" s="11">
        <v>34</v>
      </c>
      <c r="K133" s="18" t="s">
        <v>12</v>
      </c>
    </row>
    <row r="134" spans="1:11" s="12" customFormat="1" ht="18" customHeight="1">
      <c r="A134" s="6" t="str">
        <f>"陈列静"</f>
        <v>陈列静</v>
      </c>
      <c r="B134" s="6" t="str">
        <f t="shared" si="25"/>
        <v>600081</v>
      </c>
      <c r="C134" s="7" t="str">
        <f>"5860406022421"</f>
        <v>5860406022421</v>
      </c>
      <c r="D134" s="2">
        <v>55</v>
      </c>
      <c r="E134" s="8">
        <f>(D134+H134)*0.5</f>
        <v>27.5</v>
      </c>
      <c r="F134" s="2"/>
      <c r="G134" s="2"/>
      <c r="H134" s="9"/>
      <c r="I134" s="10">
        <v>27.5</v>
      </c>
      <c r="J134" s="11">
        <v>34</v>
      </c>
      <c r="K134" s="18" t="s">
        <v>12</v>
      </c>
    </row>
    <row r="135" spans="1:11" s="12" customFormat="1" ht="18" customHeight="1">
      <c r="A135" s="6" t="str">
        <f>"郑晓怡"</f>
        <v>郑晓怡</v>
      </c>
      <c r="B135" s="6" t="str">
        <f t="shared" si="25"/>
        <v>600081</v>
      </c>
      <c r="C135" s="7" t="str">
        <f>"5860406022404"</f>
        <v>5860406022404</v>
      </c>
      <c r="D135" s="2">
        <v>53</v>
      </c>
      <c r="E135" s="8">
        <f>(D135+H135)*0.5</f>
        <v>26.5</v>
      </c>
      <c r="F135" s="2"/>
      <c r="G135" s="2"/>
      <c r="H135" s="9"/>
      <c r="I135" s="10">
        <v>26.5</v>
      </c>
      <c r="J135" s="11">
        <v>36</v>
      </c>
      <c r="K135" s="18" t="s">
        <v>12</v>
      </c>
    </row>
    <row r="136" spans="1:11" s="12" customFormat="1" ht="18" customHeight="1">
      <c r="A136" s="6" t="str">
        <f>"李友雯"</f>
        <v>李友雯</v>
      </c>
      <c r="B136" s="6" t="str">
        <f t="shared" si="25"/>
        <v>600081</v>
      </c>
      <c r="C136" s="7" t="str">
        <f>"5860406022401"</f>
        <v>5860406022401</v>
      </c>
      <c r="D136" s="2">
        <v>50</v>
      </c>
      <c r="E136" s="8">
        <f>(D136+H136)*0.5</f>
        <v>25</v>
      </c>
      <c r="F136" s="2"/>
      <c r="G136" s="2"/>
      <c r="H136" s="9"/>
      <c r="I136" s="10">
        <v>25</v>
      </c>
      <c r="J136" s="11">
        <v>37</v>
      </c>
      <c r="K136" s="18" t="s">
        <v>12</v>
      </c>
    </row>
    <row r="137" spans="1:11" s="12" customFormat="1" ht="18" customHeight="1">
      <c r="A137" s="6" t="str">
        <f>"张彩云"</f>
        <v>张彩云</v>
      </c>
      <c r="B137" s="6" t="str">
        <f t="shared" si="25"/>
        <v>600081</v>
      </c>
      <c r="C137" s="7" t="str">
        <f>"5860406022419"</f>
        <v>5860406022419</v>
      </c>
      <c r="D137" s="2">
        <v>49</v>
      </c>
      <c r="E137" s="8">
        <f>(D137+H137)*0.5</f>
        <v>24.5</v>
      </c>
      <c r="F137" s="2"/>
      <c r="G137" s="2"/>
      <c r="H137" s="9"/>
      <c r="I137" s="10">
        <v>24.5</v>
      </c>
      <c r="J137" s="11">
        <v>38</v>
      </c>
      <c r="K137" s="18" t="s">
        <v>12</v>
      </c>
    </row>
    <row r="138" spans="1:11" s="12" customFormat="1" ht="18" customHeight="1">
      <c r="A138" s="6" t="str">
        <f>"王蕾婷"</f>
        <v>王蕾婷</v>
      </c>
      <c r="B138" s="6" t="str">
        <f t="shared" si="25"/>
        <v>600081</v>
      </c>
      <c r="C138" s="7" t="str">
        <f>"5860406022422"</f>
        <v>5860406022422</v>
      </c>
      <c r="D138" s="2">
        <v>49</v>
      </c>
      <c r="E138" s="8">
        <f aca="true" t="shared" si="26" ref="E138:E151">(D138+H138)*0.5</f>
        <v>24.5</v>
      </c>
      <c r="F138" s="2"/>
      <c r="G138" s="2"/>
      <c r="H138" s="9"/>
      <c r="I138" s="10">
        <v>24.5</v>
      </c>
      <c r="J138" s="11">
        <v>38</v>
      </c>
      <c r="K138" s="18" t="s">
        <v>12</v>
      </c>
    </row>
    <row r="139" spans="1:11" s="12" customFormat="1" ht="18" customHeight="1">
      <c r="A139" s="6" t="str">
        <f>"韩萍"</f>
        <v>韩萍</v>
      </c>
      <c r="B139" s="6" t="str">
        <f aca="true" t="shared" si="27" ref="B139:B151">"600082"</f>
        <v>600082</v>
      </c>
      <c r="C139" s="7" t="str">
        <f>"5860406022626"</f>
        <v>5860406022626</v>
      </c>
      <c r="D139" s="2">
        <v>48</v>
      </c>
      <c r="E139" s="8">
        <f t="shared" si="26"/>
        <v>24</v>
      </c>
      <c r="F139" s="2"/>
      <c r="G139" s="2"/>
      <c r="H139" s="9"/>
      <c r="I139" s="10">
        <v>24</v>
      </c>
      <c r="J139" s="11">
        <v>40</v>
      </c>
      <c r="K139" s="18" t="s">
        <v>12</v>
      </c>
    </row>
    <row r="140" spans="1:11" s="12" customFormat="1" ht="18" customHeight="1">
      <c r="A140" s="6" t="str">
        <f>"王朝霞"</f>
        <v>王朝霞</v>
      </c>
      <c r="B140" s="6" t="str">
        <f t="shared" si="27"/>
        <v>600082</v>
      </c>
      <c r="C140" s="7" t="str">
        <f>"5860406022527"</f>
        <v>5860406022527</v>
      </c>
      <c r="D140" s="2">
        <v>47</v>
      </c>
      <c r="E140" s="8">
        <f t="shared" si="26"/>
        <v>23.5</v>
      </c>
      <c r="F140" s="2"/>
      <c r="G140" s="2"/>
      <c r="H140" s="9"/>
      <c r="I140" s="10">
        <v>23.5</v>
      </c>
      <c r="J140" s="11">
        <v>41</v>
      </c>
      <c r="K140" s="18" t="s">
        <v>14</v>
      </c>
    </row>
    <row r="141" spans="1:11" s="12" customFormat="1" ht="18" customHeight="1">
      <c r="A141" s="6" t="str">
        <f>"陈美君"</f>
        <v>陈美君</v>
      </c>
      <c r="B141" s="6" t="str">
        <f t="shared" si="27"/>
        <v>600082</v>
      </c>
      <c r="C141" s="7" t="str">
        <f>"5860406022703"</f>
        <v>5860406022703</v>
      </c>
      <c r="D141" s="2">
        <v>47</v>
      </c>
      <c r="E141" s="8">
        <f t="shared" si="26"/>
        <v>23.5</v>
      </c>
      <c r="F141" s="2"/>
      <c r="G141" s="2"/>
      <c r="H141" s="9"/>
      <c r="I141" s="10">
        <v>23.5</v>
      </c>
      <c r="J141" s="11">
        <v>41</v>
      </c>
      <c r="K141" s="18" t="s">
        <v>12</v>
      </c>
    </row>
    <row r="142" spans="1:11" s="12" customFormat="1" ht="18" customHeight="1">
      <c r="A142" s="6" t="str">
        <f>"田思"</f>
        <v>田思</v>
      </c>
      <c r="B142" s="6" t="str">
        <f t="shared" si="27"/>
        <v>600082</v>
      </c>
      <c r="C142" s="7" t="str">
        <f>"5860406022607"</f>
        <v>5860406022607</v>
      </c>
      <c r="D142" s="2">
        <v>46</v>
      </c>
      <c r="E142" s="8">
        <f t="shared" si="26"/>
        <v>23</v>
      </c>
      <c r="F142" s="2"/>
      <c r="G142" s="2"/>
      <c r="H142" s="9"/>
      <c r="I142" s="10">
        <v>23</v>
      </c>
      <c r="J142" s="11">
        <v>43</v>
      </c>
      <c r="K142" s="18" t="s">
        <v>12</v>
      </c>
    </row>
    <row r="143" spans="1:11" s="12" customFormat="1" ht="18" customHeight="1">
      <c r="A143" s="6" t="str">
        <f>"程茜"</f>
        <v>程茜</v>
      </c>
      <c r="B143" s="6" t="str">
        <f t="shared" si="27"/>
        <v>600082</v>
      </c>
      <c r="C143" s="7" t="str">
        <f>"5860406022623"</f>
        <v>5860406022623</v>
      </c>
      <c r="D143" s="2">
        <v>45</v>
      </c>
      <c r="E143" s="8">
        <f t="shared" si="26"/>
        <v>22.5</v>
      </c>
      <c r="F143" s="2"/>
      <c r="G143" s="2"/>
      <c r="H143" s="9"/>
      <c r="I143" s="10">
        <v>22.5</v>
      </c>
      <c r="J143" s="11">
        <v>44</v>
      </c>
      <c r="K143" s="18" t="s">
        <v>12</v>
      </c>
    </row>
    <row r="144" spans="1:11" s="12" customFormat="1" ht="18" customHeight="1">
      <c r="A144" s="6" t="str">
        <f>"欧婷"</f>
        <v>欧婷</v>
      </c>
      <c r="B144" s="6" t="str">
        <f t="shared" si="27"/>
        <v>600082</v>
      </c>
      <c r="C144" s="7" t="str">
        <f>"5860406022627"</f>
        <v>5860406022627</v>
      </c>
      <c r="D144" s="2">
        <v>45</v>
      </c>
      <c r="E144" s="8">
        <f t="shared" si="26"/>
        <v>22.5</v>
      </c>
      <c r="F144" s="2"/>
      <c r="G144" s="2"/>
      <c r="H144" s="9"/>
      <c r="I144" s="10">
        <v>22.5</v>
      </c>
      <c r="J144" s="11">
        <v>44</v>
      </c>
      <c r="K144" s="18" t="s">
        <v>12</v>
      </c>
    </row>
    <row r="145" spans="1:11" s="12" customFormat="1" ht="18" customHeight="1">
      <c r="A145" s="6" t="str">
        <f>"周芮宇"</f>
        <v>周芮宇</v>
      </c>
      <c r="B145" s="6" t="str">
        <f t="shared" si="27"/>
        <v>600082</v>
      </c>
      <c r="C145" s="7" t="str">
        <f>"5860406022701"</f>
        <v>5860406022701</v>
      </c>
      <c r="D145" s="2">
        <v>44</v>
      </c>
      <c r="E145" s="8">
        <f t="shared" si="26"/>
        <v>22</v>
      </c>
      <c r="F145" s="2"/>
      <c r="G145" s="2"/>
      <c r="H145" s="9"/>
      <c r="I145" s="10">
        <v>22</v>
      </c>
      <c r="J145" s="11">
        <v>46</v>
      </c>
      <c r="K145" s="18" t="s">
        <v>12</v>
      </c>
    </row>
    <row r="146" spans="1:11" s="12" customFormat="1" ht="18" customHeight="1">
      <c r="A146" s="6" t="str">
        <f>"周玲"</f>
        <v>周玲</v>
      </c>
      <c r="B146" s="6" t="str">
        <f t="shared" si="27"/>
        <v>600082</v>
      </c>
      <c r="C146" s="7" t="str">
        <f>"5860406022510"</f>
        <v>5860406022510</v>
      </c>
      <c r="D146" s="2">
        <v>43</v>
      </c>
      <c r="E146" s="8">
        <f t="shared" si="26"/>
        <v>21.5</v>
      </c>
      <c r="F146" s="2"/>
      <c r="G146" s="2"/>
      <c r="H146" s="9"/>
      <c r="I146" s="10">
        <v>21.5</v>
      </c>
      <c r="J146" s="11">
        <v>47</v>
      </c>
      <c r="K146" s="18" t="s">
        <v>12</v>
      </c>
    </row>
    <row r="147" spans="1:11" s="12" customFormat="1" ht="18" customHeight="1">
      <c r="A147" s="6" t="str">
        <f>"郭虎军"</f>
        <v>郭虎军</v>
      </c>
      <c r="B147" s="6" t="str">
        <f t="shared" si="27"/>
        <v>600082</v>
      </c>
      <c r="C147" s="7" t="str">
        <f>"5860406022615"</f>
        <v>5860406022615</v>
      </c>
      <c r="D147" s="2">
        <v>43</v>
      </c>
      <c r="E147" s="8">
        <f t="shared" si="26"/>
        <v>21.5</v>
      </c>
      <c r="F147" s="2"/>
      <c r="G147" s="2"/>
      <c r="H147" s="9"/>
      <c r="I147" s="10">
        <v>21.5</v>
      </c>
      <c r="J147" s="11">
        <v>47</v>
      </c>
      <c r="K147" s="18" t="s">
        <v>12</v>
      </c>
    </row>
    <row r="148" spans="1:11" s="12" customFormat="1" ht="18" customHeight="1">
      <c r="A148" s="6" t="str">
        <f>"刘于铃"</f>
        <v>刘于铃</v>
      </c>
      <c r="B148" s="6" t="str">
        <f t="shared" si="27"/>
        <v>600082</v>
      </c>
      <c r="C148" s="7" t="str">
        <f>"5860406022617"</f>
        <v>5860406022617</v>
      </c>
      <c r="D148" s="2">
        <v>43</v>
      </c>
      <c r="E148" s="8">
        <f t="shared" si="26"/>
        <v>21.5</v>
      </c>
      <c r="F148" s="2"/>
      <c r="G148" s="2"/>
      <c r="H148" s="9"/>
      <c r="I148" s="10">
        <v>21.5</v>
      </c>
      <c r="J148" s="11">
        <v>47</v>
      </c>
      <c r="K148" s="18" t="s">
        <v>14</v>
      </c>
    </row>
    <row r="149" spans="1:11" s="12" customFormat="1" ht="18" customHeight="1">
      <c r="A149" s="6" t="str">
        <f>"谭凯翎"</f>
        <v>谭凯翎</v>
      </c>
      <c r="B149" s="6" t="str">
        <f t="shared" si="27"/>
        <v>600082</v>
      </c>
      <c r="C149" s="7" t="str">
        <f>"5860406022628"</f>
        <v>5860406022628</v>
      </c>
      <c r="D149" s="2">
        <v>43</v>
      </c>
      <c r="E149" s="8">
        <f t="shared" si="26"/>
        <v>21.5</v>
      </c>
      <c r="F149" s="2"/>
      <c r="G149" s="2"/>
      <c r="H149" s="9"/>
      <c r="I149" s="10">
        <v>21.5</v>
      </c>
      <c r="J149" s="11">
        <v>47</v>
      </c>
      <c r="K149" s="18" t="s">
        <v>12</v>
      </c>
    </row>
    <row r="150" spans="1:11" s="12" customFormat="1" ht="18" customHeight="1">
      <c r="A150" s="6" t="str">
        <f>"李欢欢"</f>
        <v>李欢欢</v>
      </c>
      <c r="B150" s="6" t="str">
        <f t="shared" si="27"/>
        <v>600082</v>
      </c>
      <c r="C150" s="7" t="str">
        <f>"5860406022518"</f>
        <v>5860406022518</v>
      </c>
      <c r="D150" s="2">
        <v>37</v>
      </c>
      <c r="E150" s="8">
        <f t="shared" si="26"/>
        <v>18.5</v>
      </c>
      <c r="F150" s="2"/>
      <c r="G150" s="2"/>
      <c r="H150" s="9"/>
      <c r="I150" s="10">
        <v>18.5</v>
      </c>
      <c r="J150" s="11">
        <v>51</v>
      </c>
      <c r="K150" s="18" t="s">
        <v>12</v>
      </c>
    </row>
    <row r="151" spans="1:11" s="12" customFormat="1" ht="18" customHeight="1">
      <c r="A151" s="6" t="str">
        <f>"徐琴莲"</f>
        <v>徐琴莲</v>
      </c>
      <c r="B151" s="6" t="str">
        <f t="shared" si="27"/>
        <v>600082</v>
      </c>
      <c r="C151" s="7" t="str">
        <f>"5860406022521"</f>
        <v>5860406022521</v>
      </c>
      <c r="D151" s="2">
        <v>37</v>
      </c>
      <c r="E151" s="8">
        <f t="shared" si="26"/>
        <v>18.5</v>
      </c>
      <c r="F151" s="2"/>
      <c r="G151" s="2"/>
      <c r="H151" s="9"/>
      <c r="I151" s="10">
        <v>18.5</v>
      </c>
      <c r="J151" s="11">
        <v>51</v>
      </c>
      <c r="K151" s="18" t="s">
        <v>12</v>
      </c>
    </row>
    <row r="152" spans="1:11" s="12" customFormat="1" ht="18" customHeight="1">
      <c r="A152" s="6" t="str">
        <f>"郭川莲"</f>
        <v>郭川莲</v>
      </c>
      <c r="B152" s="6" t="str">
        <f>"600083"</f>
        <v>600083</v>
      </c>
      <c r="C152" s="7" t="str">
        <f>"5860406022704"</f>
        <v>5860406022704</v>
      </c>
      <c r="D152" s="2">
        <v>49</v>
      </c>
      <c r="E152" s="8">
        <f>(D152+H152)*0.5</f>
        <v>24.5</v>
      </c>
      <c r="F152" s="2"/>
      <c r="G152" s="2"/>
      <c r="H152" s="9"/>
      <c r="I152" s="10">
        <v>24.5</v>
      </c>
      <c r="J152" s="11">
        <v>26</v>
      </c>
      <c r="K152" s="18" t="s">
        <v>14</v>
      </c>
    </row>
    <row r="153" spans="1:11" s="12" customFormat="1" ht="18" customHeight="1">
      <c r="A153" s="6" t="str">
        <f>"赖小勇"</f>
        <v>赖小勇</v>
      </c>
      <c r="B153" s="6" t="str">
        <f>"600083"</f>
        <v>600083</v>
      </c>
      <c r="C153" s="7" t="str">
        <f>"5860406022724"</f>
        <v>5860406022724</v>
      </c>
      <c r="D153" s="2">
        <v>49</v>
      </c>
      <c r="E153" s="8">
        <f>(D153+H153)*0.5</f>
        <v>24.5</v>
      </c>
      <c r="F153" s="2"/>
      <c r="G153" s="2"/>
      <c r="H153" s="9"/>
      <c r="I153" s="10">
        <v>24.5</v>
      </c>
      <c r="J153" s="11">
        <v>26</v>
      </c>
      <c r="K153" s="18" t="s">
        <v>12</v>
      </c>
    </row>
    <row r="154" spans="1:11" s="12" customFormat="1" ht="18" customHeight="1">
      <c r="A154" s="6" t="str">
        <f>"王娅"</f>
        <v>王娅</v>
      </c>
      <c r="B154" s="6" t="str">
        <f aca="true" t="shared" si="28" ref="B154:B160">"600084"</f>
        <v>600084</v>
      </c>
      <c r="C154" s="7" t="str">
        <f>"5860406022918"</f>
        <v>5860406022918</v>
      </c>
      <c r="D154" s="2">
        <v>45</v>
      </c>
      <c r="E154" s="8">
        <f aca="true" t="shared" si="29" ref="E154:E161">(D154+H154)*0.5</f>
        <v>22.5</v>
      </c>
      <c r="F154" s="2"/>
      <c r="G154" s="2"/>
      <c r="H154" s="9"/>
      <c r="I154" s="10">
        <v>22.5</v>
      </c>
      <c r="J154" s="11">
        <v>40</v>
      </c>
      <c r="K154" s="18" t="s">
        <v>14</v>
      </c>
    </row>
    <row r="155" spans="1:11" s="12" customFormat="1" ht="18" customHeight="1">
      <c r="A155" s="6" t="str">
        <f>"郑济"</f>
        <v>郑济</v>
      </c>
      <c r="B155" s="6" t="str">
        <f t="shared" si="28"/>
        <v>600084</v>
      </c>
      <c r="C155" s="7" t="str">
        <f>"5860406022921"</f>
        <v>5860406022921</v>
      </c>
      <c r="D155" s="2">
        <v>45</v>
      </c>
      <c r="E155" s="8">
        <f t="shared" si="29"/>
        <v>22.5</v>
      </c>
      <c r="F155" s="2"/>
      <c r="G155" s="2"/>
      <c r="H155" s="9"/>
      <c r="I155" s="10">
        <v>22.5</v>
      </c>
      <c r="J155" s="11">
        <v>40</v>
      </c>
      <c r="K155" s="18" t="s">
        <v>12</v>
      </c>
    </row>
    <row r="156" spans="1:11" s="12" customFormat="1" ht="18" customHeight="1">
      <c r="A156" s="6" t="str">
        <f>"陈飞"</f>
        <v>陈飞</v>
      </c>
      <c r="B156" s="6" t="str">
        <f t="shared" si="28"/>
        <v>600084</v>
      </c>
      <c r="C156" s="7" t="str">
        <f>"5860406022813"</f>
        <v>5860406022813</v>
      </c>
      <c r="D156" s="2">
        <v>43</v>
      </c>
      <c r="E156" s="8">
        <f t="shared" si="29"/>
        <v>21.5</v>
      </c>
      <c r="F156" s="2"/>
      <c r="G156" s="2"/>
      <c r="H156" s="9"/>
      <c r="I156" s="10">
        <v>21.5</v>
      </c>
      <c r="J156" s="11">
        <v>42</v>
      </c>
      <c r="K156" s="18" t="s">
        <v>14</v>
      </c>
    </row>
    <row r="157" spans="1:11" s="12" customFormat="1" ht="18" customHeight="1">
      <c r="A157" s="6" t="str">
        <f>"张富凌"</f>
        <v>张富凌</v>
      </c>
      <c r="B157" s="6" t="str">
        <f t="shared" si="28"/>
        <v>600084</v>
      </c>
      <c r="C157" s="7" t="str">
        <f>"5860406022828"</f>
        <v>5860406022828</v>
      </c>
      <c r="D157" s="2">
        <v>43</v>
      </c>
      <c r="E157" s="8">
        <f t="shared" si="29"/>
        <v>21.5</v>
      </c>
      <c r="F157" s="2"/>
      <c r="G157" s="2"/>
      <c r="H157" s="9"/>
      <c r="I157" s="10">
        <v>21.5</v>
      </c>
      <c r="J157" s="11">
        <v>42</v>
      </c>
      <c r="K157" s="18" t="s">
        <v>12</v>
      </c>
    </row>
    <row r="158" spans="1:11" s="12" customFormat="1" ht="18" customHeight="1">
      <c r="A158" s="6" t="str">
        <f>"李红贤"</f>
        <v>李红贤</v>
      </c>
      <c r="B158" s="6" t="str">
        <f t="shared" si="28"/>
        <v>600084</v>
      </c>
      <c r="C158" s="7" t="str">
        <f>"5860406022909"</f>
        <v>5860406022909</v>
      </c>
      <c r="D158" s="2">
        <v>43</v>
      </c>
      <c r="E158" s="8">
        <f t="shared" si="29"/>
        <v>21.5</v>
      </c>
      <c r="F158" s="2"/>
      <c r="G158" s="2"/>
      <c r="H158" s="9"/>
      <c r="I158" s="10">
        <v>21.5</v>
      </c>
      <c r="J158" s="11">
        <v>42</v>
      </c>
      <c r="K158" s="18" t="s">
        <v>12</v>
      </c>
    </row>
    <row r="159" spans="1:11" s="12" customFormat="1" ht="18" customHeight="1">
      <c r="A159" s="6" t="str">
        <f>"黄娟"</f>
        <v>黄娟</v>
      </c>
      <c r="B159" s="6" t="str">
        <f t="shared" si="28"/>
        <v>600084</v>
      </c>
      <c r="C159" s="7" t="str">
        <f>"5860406022903"</f>
        <v>5860406022903</v>
      </c>
      <c r="D159" s="2">
        <v>38</v>
      </c>
      <c r="E159" s="8">
        <f t="shared" si="29"/>
        <v>19</v>
      </c>
      <c r="F159" s="2"/>
      <c r="G159" s="2"/>
      <c r="H159" s="9"/>
      <c r="I159" s="10">
        <v>19</v>
      </c>
      <c r="J159" s="11">
        <v>45</v>
      </c>
      <c r="K159" s="18" t="s">
        <v>12</v>
      </c>
    </row>
    <row r="160" spans="1:11" s="12" customFormat="1" ht="18" customHeight="1">
      <c r="A160" s="6" t="str">
        <f>"徐黎寒"</f>
        <v>徐黎寒</v>
      </c>
      <c r="B160" s="6" t="str">
        <f t="shared" si="28"/>
        <v>600084</v>
      </c>
      <c r="C160" s="7" t="str">
        <f>"5860406022826"</f>
        <v>5860406022826</v>
      </c>
      <c r="D160" s="2">
        <v>36</v>
      </c>
      <c r="E160" s="8">
        <f t="shared" si="29"/>
        <v>18</v>
      </c>
      <c r="F160" s="2"/>
      <c r="G160" s="2"/>
      <c r="H160" s="9"/>
      <c r="I160" s="10">
        <v>18</v>
      </c>
      <c r="J160" s="11">
        <v>46</v>
      </c>
      <c r="K160" s="18" t="s">
        <v>12</v>
      </c>
    </row>
    <row r="161" spans="1:11" s="12" customFormat="1" ht="18" customHeight="1">
      <c r="A161" s="6" t="str">
        <f>"吴海毅"</f>
        <v>吴海毅</v>
      </c>
      <c r="B161" s="6" t="str">
        <f aca="true" t="shared" si="30" ref="B161:B172">"600085"</f>
        <v>600085</v>
      </c>
      <c r="C161" s="7" t="str">
        <f>"5860406023004"</f>
        <v>5860406023004</v>
      </c>
      <c r="D161" s="2">
        <v>55</v>
      </c>
      <c r="E161" s="8">
        <f t="shared" si="29"/>
        <v>27.5</v>
      </c>
      <c r="F161" s="2"/>
      <c r="G161" s="2"/>
      <c r="H161" s="9"/>
      <c r="I161" s="10">
        <v>27.5</v>
      </c>
      <c r="J161" s="11">
        <v>44</v>
      </c>
      <c r="K161" s="18" t="s">
        <v>12</v>
      </c>
    </row>
    <row r="162" spans="1:11" s="12" customFormat="1" ht="18" customHeight="1">
      <c r="A162" s="6" t="str">
        <f>"程美霞"</f>
        <v>程美霞</v>
      </c>
      <c r="B162" s="6" t="str">
        <f t="shared" si="30"/>
        <v>600085</v>
      </c>
      <c r="C162" s="7" t="str">
        <f>"5860406023009"</f>
        <v>5860406023009</v>
      </c>
      <c r="D162" s="2">
        <v>55</v>
      </c>
      <c r="E162" s="8">
        <f aca="true" t="shared" si="31" ref="E162:E172">(D162+H162)*0.5</f>
        <v>27.5</v>
      </c>
      <c r="F162" s="2"/>
      <c r="G162" s="2"/>
      <c r="H162" s="9"/>
      <c r="I162" s="10">
        <v>27.5</v>
      </c>
      <c r="J162" s="11">
        <v>44</v>
      </c>
      <c r="K162" s="18" t="s">
        <v>12</v>
      </c>
    </row>
    <row r="163" spans="1:11" s="12" customFormat="1" ht="18" customHeight="1">
      <c r="A163" s="6" t="str">
        <f>"王潆漩"</f>
        <v>王潆漩</v>
      </c>
      <c r="B163" s="6" t="str">
        <f t="shared" si="30"/>
        <v>600085</v>
      </c>
      <c r="C163" s="7" t="str">
        <f>"5860406023030"</f>
        <v>5860406023030</v>
      </c>
      <c r="D163" s="2">
        <v>55</v>
      </c>
      <c r="E163" s="8">
        <f t="shared" si="31"/>
        <v>27.5</v>
      </c>
      <c r="F163" s="2"/>
      <c r="G163" s="2"/>
      <c r="H163" s="9"/>
      <c r="I163" s="10">
        <v>27.5</v>
      </c>
      <c r="J163" s="11">
        <v>44</v>
      </c>
      <c r="K163" s="18" t="s">
        <v>12</v>
      </c>
    </row>
    <row r="164" spans="1:11" s="12" customFormat="1" ht="18" customHeight="1">
      <c r="A164" s="6" t="str">
        <f>"陈小军"</f>
        <v>陈小军</v>
      </c>
      <c r="B164" s="6" t="str">
        <f t="shared" si="30"/>
        <v>600085</v>
      </c>
      <c r="C164" s="7" t="str">
        <f>"5860406023115"</f>
        <v>5860406023115</v>
      </c>
      <c r="D164" s="2">
        <v>55</v>
      </c>
      <c r="E164" s="8">
        <f t="shared" si="31"/>
        <v>27.5</v>
      </c>
      <c r="F164" s="2"/>
      <c r="G164" s="2"/>
      <c r="H164" s="9"/>
      <c r="I164" s="10">
        <v>27.5</v>
      </c>
      <c r="J164" s="11">
        <v>44</v>
      </c>
      <c r="K164" s="18" t="s">
        <v>12</v>
      </c>
    </row>
    <row r="165" spans="1:11" s="12" customFormat="1" ht="18" customHeight="1">
      <c r="A165" s="6" t="str">
        <f>"李军"</f>
        <v>李军</v>
      </c>
      <c r="B165" s="6" t="str">
        <f t="shared" si="30"/>
        <v>600085</v>
      </c>
      <c r="C165" s="7" t="str">
        <f>"5860406023123"</f>
        <v>5860406023123</v>
      </c>
      <c r="D165" s="2">
        <v>55</v>
      </c>
      <c r="E165" s="8">
        <f t="shared" si="31"/>
        <v>27.5</v>
      </c>
      <c r="F165" s="2"/>
      <c r="G165" s="2"/>
      <c r="H165" s="9"/>
      <c r="I165" s="10">
        <v>27.5</v>
      </c>
      <c r="J165" s="11">
        <v>44</v>
      </c>
      <c r="K165" s="18" t="s">
        <v>12</v>
      </c>
    </row>
    <row r="166" spans="1:11" s="12" customFormat="1" ht="18" customHeight="1">
      <c r="A166" s="6" t="str">
        <f>"潘虹"</f>
        <v>潘虹</v>
      </c>
      <c r="B166" s="6" t="str">
        <f t="shared" si="30"/>
        <v>600085</v>
      </c>
      <c r="C166" s="7" t="str">
        <f>"5860406023001"</f>
        <v>5860406023001</v>
      </c>
      <c r="D166" s="2">
        <v>53</v>
      </c>
      <c r="E166" s="8">
        <f t="shared" si="31"/>
        <v>26.5</v>
      </c>
      <c r="F166" s="2"/>
      <c r="G166" s="2"/>
      <c r="H166" s="9"/>
      <c r="I166" s="10">
        <v>26.5</v>
      </c>
      <c r="J166" s="11">
        <v>49</v>
      </c>
      <c r="K166" s="18" t="s">
        <v>14</v>
      </c>
    </row>
    <row r="167" spans="1:11" s="12" customFormat="1" ht="18" customHeight="1">
      <c r="A167" s="6" t="str">
        <f>"王鹏"</f>
        <v>王鹏</v>
      </c>
      <c r="B167" s="6" t="str">
        <f t="shared" si="30"/>
        <v>600085</v>
      </c>
      <c r="C167" s="7" t="str">
        <f>"5860406023019"</f>
        <v>5860406023019</v>
      </c>
      <c r="D167" s="2">
        <v>53</v>
      </c>
      <c r="E167" s="8">
        <f t="shared" si="31"/>
        <v>26.5</v>
      </c>
      <c r="F167" s="2"/>
      <c r="G167" s="2"/>
      <c r="H167" s="9"/>
      <c r="I167" s="10">
        <v>26.5</v>
      </c>
      <c r="J167" s="11">
        <v>49</v>
      </c>
      <c r="K167" s="18" t="s">
        <v>12</v>
      </c>
    </row>
    <row r="168" spans="1:11" s="12" customFormat="1" ht="18" customHeight="1">
      <c r="A168" s="6" t="str">
        <f>"罗广波"</f>
        <v>罗广波</v>
      </c>
      <c r="B168" s="6" t="str">
        <f t="shared" si="30"/>
        <v>600085</v>
      </c>
      <c r="C168" s="7" t="str">
        <f>"5860406023021"</f>
        <v>5860406023021</v>
      </c>
      <c r="D168" s="2">
        <v>53</v>
      </c>
      <c r="E168" s="8">
        <f t="shared" si="31"/>
        <v>26.5</v>
      </c>
      <c r="F168" s="2"/>
      <c r="G168" s="2"/>
      <c r="H168" s="9"/>
      <c r="I168" s="10">
        <v>26.5</v>
      </c>
      <c r="J168" s="11">
        <v>49</v>
      </c>
      <c r="K168" s="18" t="s">
        <v>12</v>
      </c>
    </row>
    <row r="169" spans="1:11" s="12" customFormat="1" ht="18" customHeight="1">
      <c r="A169" s="6" t="str">
        <f>"罗茂辉"</f>
        <v>罗茂辉</v>
      </c>
      <c r="B169" s="6" t="str">
        <f t="shared" si="30"/>
        <v>600085</v>
      </c>
      <c r="C169" s="7" t="str">
        <f>"5860406023029"</f>
        <v>5860406023029</v>
      </c>
      <c r="D169" s="2">
        <v>53</v>
      </c>
      <c r="E169" s="8">
        <f t="shared" si="31"/>
        <v>26.5</v>
      </c>
      <c r="F169" s="2"/>
      <c r="G169" s="2"/>
      <c r="H169" s="9"/>
      <c r="I169" s="10">
        <v>26.5</v>
      </c>
      <c r="J169" s="11">
        <v>49</v>
      </c>
      <c r="K169" s="18" t="s">
        <v>14</v>
      </c>
    </row>
    <row r="170" spans="1:11" s="12" customFormat="1" ht="18" customHeight="1">
      <c r="A170" s="6" t="str">
        <f>"童兵兵"</f>
        <v>童兵兵</v>
      </c>
      <c r="B170" s="6" t="str">
        <f t="shared" si="30"/>
        <v>600085</v>
      </c>
      <c r="C170" s="7" t="str">
        <f>"5860406023209"</f>
        <v>5860406023209</v>
      </c>
      <c r="D170" s="2">
        <v>53</v>
      </c>
      <c r="E170" s="8">
        <f t="shared" si="31"/>
        <v>26.5</v>
      </c>
      <c r="F170" s="2"/>
      <c r="G170" s="2"/>
      <c r="H170" s="9"/>
      <c r="I170" s="10">
        <v>26.5</v>
      </c>
      <c r="J170" s="11">
        <v>49</v>
      </c>
      <c r="K170" s="18" t="s">
        <v>12</v>
      </c>
    </row>
    <row r="171" spans="1:11" s="12" customFormat="1" ht="18" customHeight="1">
      <c r="A171" s="6" t="str">
        <f>"李唐"</f>
        <v>李唐</v>
      </c>
      <c r="B171" s="6" t="str">
        <f t="shared" si="30"/>
        <v>600085</v>
      </c>
      <c r="C171" s="7" t="str">
        <f>"5860406023214"</f>
        <v>5860406023214</v>
      </c>
      <c r="D171" s="2">
        <v>53</v>
      </c>
      <c r="E171" s="8">
        <f t="shared" si="31"/>
        <v>26.5</v>
      </c>
      <c r="F171" s="2"/>
      <c r="G171" s="2"/>
      <c r="H171" s="9"/>
      <c r="I171" s="10">
        <v>26.5</v>
      </c>
      <c r="J171" s="11">
        <v>49</v>
      </c>
      <c r="K171" s="18" t="s">
        <v>12</v>
      </c>
    </row>
    <row r="172" spans="1:11" s="12" customFormat="1" ht="18" customHeight="1">
      <c r="A172" s="6" t="str">
        <f>"熊煜"</f>
        <v>熊煜</v>
      </c>
      <c r="B172" s="6" t="str">
        <f t="shared" si="30"/>
        <v>600085</v>
      </c>
      <c r="C172" s="7" t="str">
        <f>"5860406023215"</f>
        <v>5860406023215</v>
      </c>
      <c r="D172" s="2">
        <v>53</v>
      </c>
      <c r="E172" s="8">
        <f t="shared" si="31"/>
        <v>26.5</v>
      </c>
      <c r="F172" s="2"/>
      <c r="G172" s="2"/>
      <c r="H172" s="9"/>
      <c r="I172" s="10">
        <v>26.5</v>
      </c>
      <c r="J172" s="11">
        <v>49</v>
      </c>
      <c r="K172" s="18" t="s">
        <v>12</v>
      </c>
    </row>
    <row r="173" spans="1:11" s="12" customFormat="1" ht="18" customHeight="1">
      <c r="A173" s="6" t="str">
        <f>"罗芳"</f>
        <v>罗芳</v>
      </c>
      <c r="B173" s="6" t="str">
        <f>"600086"</f>
        <v>600086</v>
      </c>
      <c r="C173" s="7" t="str">
        <f>"5860406023309"</f>
        <v>5860406023309</v>
      </c>
      <c r="D173" s="2">
        <v>44</v>
      </c>
      <c r="E173" s="8">
        <f aca="true" t="shared" si="32" ref="E173:E180">(D173+H173)*0.5</f>
        <v>22</v>
      </c>
      <c r="F173" s="2"/>
      <c r="G173" s="2"/>
      <c r="H173" s="9"/>
      <c r="I173" s="10">
        <v>22</v>
      </c>
      <c r="J173" s="11">
        <v>37</v>
      </c>
      <c r="K173" s="18" t="s">
        <v>12</v>
      </c>
    </row>
    <row r="174" spans="1:11" s="12" customFormat="1" ht="18" customHeight="1">
      <c r="A174" s="6" t="str">
        <f>"彭垚"</f>
        <v>彭垚</v>
      </c>
      <c r="B174" s="6" t="str">
        <f>"600086"</f>
        <v>600086</v>
      </c>
      <c r="C174" s="7" t="str">
        <f>"5860406023318"</f>
        <v>5860406023318</v>
      </c>
      <c r="D174" s="2">
        <v>43</v>
      </c>
      <c r="E174" s="8">
        <f t="shared" si="32"/>
        <v>21.5</v>
      </c>
      <c r="F174" s="2"/>
      <c r="G174" s="2"/>
      <c r="H174" s="9"/>
      <c r="I174" s="10">
        <v>21.5</v>
      </c>
      <c r="J174" s="11">
        <v>38</v>
      </c>
      <c r="K174" s="18" t="s">
        <v>12</v>
      </c>
    </row>
    <row r="175" spans="1:11" s="12" customFormat="1" ht="18" customHeight="1">
      <c r="A175" s="6" t="str">
        <f>"吴娜娜"</f>
        <v>吴娜娜</v>
      </c>
      <c r="B175" s="6" t="str">
        <f>"600086"</f>
        <v>600086</v>
      </c>
      <c r="C175" s="7" t="str">
        <f>"5860406023319"</f>
        <v>5860406023319</v>
      </c>
      <c r="D175" s="2">
        <v>41</v>
      </c>
      <c r="E175" s="8">
        <f t="shared" si="32"/>
        <v>20.5</v>
      </c>
      <c r="F175" s="2"/>
      <c r="G175" s="2"/>
      <c r="H175" s="9"/>
      <c r="I175" s="10">
        <v>20.5</v>
      </c>
      <c r="J175" s="11">
        <v>39</v>
      </c>
      <c r="K175" s="18" t="s">
        <v>14</v>
      </c>
    </row>
    <row r="176" spans="1:11" s="12" customFormat="1" ht="18" customHeight="1">
      <c r="A176" s="6" t="str">
        <f>"张睿"</f>
        <v>张睿</v>
      </c>
      <c r="B176" s="6" t="str">
        <f>"600087"</f>
        <v>600087</v>
      </c>
      <c r="C176" s="7" t="str">
        <f>"5860406023423"</f>
        <v>5860406023423</v>
      </c>
      <c r="D176" s="2">
        <v>58</v>
      </c>
      <c r="E176" s="8">
        <f t="shared" si="32"/>
        <v>29</v>
      </c>
      <c r="F176" s="2"/>
      <c r="G176" s="2"/>
      <c r="H176" s="9"/>
      <c r="I176" s="10">
        <v>29</v>
      </c>
      <c r="J176" s="11">
        <v>39</v>
      </c>
      <c r="K176" s="18" t="s">
        <v>12</v>
      </c>
    </row>
    <row r="177" spans="1:11" s="12" customFormat="1" ht="18" customHeight="1">
      <c r="A177" s="6" t="str">
        <f>"冯俊"</f>
        <v>冯俊</v>
      </c>
      <c r="B177" s="6" t="str">
        <f>"600087"</f>
        <v>600087</v>
      </c>
      <c r="C177" s="7" t="str">
        <f>"5860406023416"</f>
        <v>5860406023416</v>
      </c>
      <c r="D177" s="2">
        <v>57</v>
      </c>
      <c r="E177" s="8">
        <f t="shared" si="32"/>
        <v>28.5</v>
      </c>
      <c r="F177" s="2"/>
      <c r="G177" s="2"/>
      <c r="H177" s="9"/>
      <c r="I177" s="10">
        <v>28.5</v>
      </c>
      <c r="J177" s="11">
        <v>40</v>
      </c>
      <c r="K177" s="18" t="s">
        <v>14</v>
      </c>
    </row>
    <row r="178" spans="1:11" s="12" customFormat="1" ht="18" customHeight="1">
      <c r="A178" s="6" t="str">
        <f>"莫政"</f>
        <v>莫政</v>
      </c>
      <c r="B178" s="6" t="str">
        <f>"600087"</f>
        <v>600087</v>
      </c>
      <c r="C178" s="7" t="str">
        <f>"5860406023429"</f>
        <v>5860406023429</v>
      </c>
      <c r="D178" s="2">
        <v>57</v>
      </c>
      <c r="E178" s="8">
        <f t="shared" si="32"/>
        <v>28.5</v>
      </c>
      <c r="F178" s="2"/>
      <c r="G178" s="2"/>
      <c r="H178" s="9"/>
      <c r="I178" s="10">
        <v>28.5</v>
      </c>
      <c r="J178" s="11">
        <v>40</v>
      </c>
      <c r="K178" s="18" t="s">
        <v>12</v>
      </c>
    </row>
    <row r="179" spans="1:11" s="12" customFormat="1" ht="18" customHeight="1">
      <c r="A179" s="6" t="str">
        <f>"蒲美彤"</f>
        <v>蒲美彤</v>
      </c>
      <c r="B179" s="6" t="str">
        <f>"600087"</f>
        <v>600087</v>
      </c>
      <c r="C179" s="7" t="str">
        <f>"5860406023502"</f>
        <v>5860406023502</v>
      </c>
      <c r="D179" s="2">
        <v>57</v>
      </c>
      <c r="E179" s="8">
        <f t="shared" si="32"/>
        <v>28.5</v>
      </c>
      <c r="F179" s="2"/>
      <c r="G179" s="2"/>
      <c r="H179" s="9"/>
      <c r="I179" s="10">
        <v>28.5</v>
      </c>
      <c r="J179" s="11">
        <v>40</v>
      </c>
      <c r="K179" s="18" t="s">
        <v>12</v>
      </c>
    </row>
    <row r="180" spans="1:11" s="12" customFormat="1" ht="18" customHeight="1">
      <c r="A180" s="6" t="str">
        <f>"张永英"</f>
        <v>张永英</v>
      </c>
      <c r="B180" s="6" t="str">
        <f>"600087"</f>
        <v>600087</v>
      </c>
      <c r="C180" s="7" t="str">
        <f>"5860406023611"</f>
        <v>5860406023611</v>
      </c>
      <c r="D180" s="2">
        <v>57</v>
      </c>
      <c r="E180" s="8">
        <f t="shared" si="32"/>
        <v>28.5</v>
      </c>
      <c r="F180" s="2"/>
      <c r="G180" s="2"/>
      <c r="H180" s="9"/>
      <c r="I180" s="10">
        <v>28.5</v>
      </c>
      <c r="J180" s="11">
        <v>40</v>
      </c>
      <c r="K180" s="18" t="s">
        <v>12</v>
      </c>
    </row>
    <row r="181" spans="1:11" s="12" customFormat="1" ht="18" customHeight="1">
      <c r="A181" s="6" t="str">
        <f>"杨思菊"</f>
        <v>杨思菊</v>
      </c>
      <c r="B181" s="6" t="str">
        <f aca="true" t="shared" si="33" ref="B181:B190">"600088"</f>
        <v>600088</v>
      </c>
      <c r="C181" s="7" t="str">
        <f>"5860406023622"</f>
        <v>5860406023622</v>
      </c>
      <c r="D181" s="2">
        <v>58</v>
      </c>
      <c r="E181" s="8">
        <f>(D181+H181)*0.5</f>
        <v>29</v>
      </c>
      <c r="F181" s="2"/>
      <c r="G181" s="2"/>
      <c r="H181" s="9"/>
      <c r="I181" s="10">
        <v>29</v>
      </c>
      <c r="J181" s="11">
        <v>37</v>
      </c>
      <c r="K181" s="18" t="s">
        <v>12</v>
      </c>
    </row>
    <row r="182" spans="1:11" s="12" customFormat="1" ht="18" customHeight="1">
      <c r="A182" s="6" t="str">
        <f>"陈虹丹"</f>
        <v>陈虹丹</v>
      </c>
      <c r="B182" s="6" t="str">
        <f t="shared" si="33"/>
        <v>600088</v>
      </c>
      <c r="C182" s="7" t="str">
        <f>"5860406023712"</f>
        <v>5860406023712</v>
      </c>
      <c r="D182" s="2">
        <v>58</v>
      </c>
      <c r="E182" s="8">
        <f aca="true" t="shared" si="34" ref="E182:E190">(D182+H182)*0.5</f>
        <v>29</v>
      </c>
      <c r="F182" s="2"/>
      <c r="G182" s="2"/>
      <c r="H182" s="9"/>
      <c r="I182" s="10">
        <v>29</v>
      </c>
      <c r="J182" s="11">
        <v>37</v>
      </c>
      <c r="K182" s="18" t="s">
        <v>14</v>
      </c>
    </row>
    <row r="183" spans="1:11" s="12" customFormat="1" ht="18" customHeight="1">
      <c r="A183" s="6" t="str">
        <f>"邓翔丹"</f>
        <v>邓翔丹</v>
      </c>
      <c r="B183" s="6" t="str">
        <f t="shared" si="33"/>
        <v>600088</v>
      </c>
      <c r="C183" s="7" t="str">
        <f>"5860406023718"</f>
        <v>5860406023718</v>
      </c>
      <c r="D183" s="2">
        <v>58</v>
      </c>
      <c r="E183" s="8">
        <f t="shared" si="34"/>
        <v>29</v>
      </c>
      <c r="F183" s="2"/>
      <c r="G183" s="2"/>
      <c r="H183" s="9"/>
      <c r="I183" s="10">
        <v>29</v>
      </c>
      <c r="J183" s="11">
        <v>37</v>
      </c>
      <c r="K183" s="18" t="s">
        <v>14</v>
      </c>
    </row>
    <row r="184" spans="1:11" s="12" customFormat="1" ht="18" customHeight="1">
      <c r="A184" s="6" t="str">
        <f>"周文淑"</f>
        <v>周文淑</v>
      </c>
      <c r="B184" s="6" t="str">
        <f t="shared" si="33"/>
        <v>600088</v>
      </c>
      <c r="C184" s="7" t="str">
        <f>"5860406023724"</f>
        <v>5860406023724</v>
      </c>
      <c r="D184" s="2">
        <v>58</v>
      </c>
      <c r="E184" s="8">
        <f t="shared" si="34"/>
        <v>29</v>
      </c>
      <c r="F184" s="2"/>
      <c r="G184" s="2"/>
      <c r="H184" s="9"/>
      <c r="I184" s="10">
        <v>29</v>
      </c>
      <c r="J184" s="11">
        <v>37</v>
      </c>
      <c r="K184" s="18" t="s">
        <v>14</v>
      </c>
    </row>
    <row r="185" spans="1:11" s="12" customFormat="1" ht="18" customHeight="1">
      <c r="A185" s="6" t="str">
        <f>"李立恒"</f>
        <v>李立恒</v>
      </c>
      <c r="B185" s="6" t="str">
        <f t="shared" si="33"/>
        <v>600088</v>
      </c>
      <c r="C185" s="7" t="str">
        <f>"5860406023729"</f>
        <v>5860406023729</v>
      </c>
      <c r="D185" s="2">
        <v>58</v>
      </c>
      <c r="E185" s="8">
        <f t="shared" si="34"/>
        <v>29</v>
      </c>
      <c r="F185" s="2"/>
      <c r="G185" s="2"/>
      <c r="H185" s="9"/>
      <c r="I185" s="10">
        <v>29</v>
      </c>
      <c r="J185" s="11">
        <v>37</v>
      </c>
      <c r="K185" s="18" t="s">
        <v>14</v>
      </c>
    </row>
    <row r="186" spans="1:11" s="12" customFormat="1" ht="18" customHeight="1">
      <c r="A186" s="6" t="str">
        <f>"何桃"</f>
        <v>何桃</v>
      </c>
      <c r="B186" s="6" t="str">
        <f t="shared" si="33"/>
        <v>600088</v>
      </c>
      <c r="C186" s="7" t="str">
        <f>"5860406023801"</f>
        <v>5860406023801</v>
      </c>
      <c r="D186" s="2">
        <v>58</v>
      </c>
      <c r="E186" s="8">
        <f t="shared" si="34"/>
        <v>29</v>
      </c>
      <c r="F186" s="2"/>
      <c r="G186" s="2"/>
      <c r="H186" s="9"/>
      <c r="I186" s="10">
        <v>29</v>
      </c>
      <c r="J186" s="11">
        <v>37</v>
      </c>
      <c r="K186" s="18" t="s">
        <v>12</v>
      </c>
    </row>
    <row r="187" spans="1:11" s="12" customFormat="1" ht="18" customHeight="1">
      <c r="A187" s="6" t="str">
        <f>"李娟"</f>
        <v>李娟</v>
      </c>
      <c r="B187" s="6" t="str">
        <f t="shared" si="33"/>
        <v>600088</v>
      </c>
      <c r="C187" s="7" t="str">
        <f>"5860406023805"</f>
        <v>5860406023805</v>
      </c>
      <c r="D187" s="2">
        <v>58</v>
      </c>
      <c r="E187" s="8">
        <f t="shared" si="34"/>
        <v>29</v>
      </c>
      <c r="F187" s="2"/>
      <c r="G187" s="2"/>
      <c r="H187" s="9"/>
      <c r="I187" s="10">
        <v>29</v>
      </c>
      <c r="J187" s="11">
        <v>37</v>
      </c>
      <c r="K187" s="18" t="s">
        <v>14</v>
      </c>
    </row>
    <row r="188" spans="1:11" s="12" customFormat="1" ht="18" customHeight="1">
      <c r="A188" s="6" t="str">
        <f>"赵霞"</f>
        <v>赵霞</v>
      </c>
      <c r="B188" s="6" t="str">
        <f t="shared" si="33"/>
        <v>600088</v>
      </c>
      <c r="C188" s="7" t="str">
        <f>"5860406023812"</f>
        <v>5860406023812</v>
      </c>
      <c r="D188" s="2">
        <v>58</v>
      </c>
      <c r="E188" s="8">
        <f t="shared" si="34"/>
        <v>29</v>
      </c>
      <c r="F188" s="2"/>
      <c r="G188" s="2"/>
      <c r="H188" s="9"/>
      <c r="I188" s="10">
        <v>29</v>
      </c>
      <c r="J188" s="11">
        <v>37</v>
      </c>
      <c r="K188" s="18" t="s">
        <v>12</v>
      </c>
    </row>
    <row r="189" spans="1:11" s="12" customFormat="1" ht="18" customHeight="1">
      <c r="A189" s="6" t="str">
        <f>"贾敏"</f>
        <v>贾敏</v>
      </c>
      <c r="B189" s="6" t="str">
        <f t="shared" si="33"/>
        <v>600088</v>
      </c>
      <c r="C189" s="7" t="str">
        <f>"5860406023813"</f>
        <v>5860406023813</v>
      </c>
      <c r="D189" s="2">
        <v>58</v>
      </c>
      <c r="E189" s="8">
        <f t="shared" si="34"/>
        <v>29</v>
      </c>
      <c r="F189" s="2"/>
      <c r="G189" s="2"/>
      <c r="H189" s="9"/>
      <c r="I189" s="10">
        <v>29</v>
      </c>
      <c r="J189" s="11">
        <v>37</v>
      </c>
      <c r="K189" s="18" t="s">
        <v>14</v>
      </c>
    </row>
    <row r="190" spans="1:11" s="12" customFormat="1" ht="18" customHeight="1">
      <c r="A190" s="6" t="str">
        <f>"邓娟"</f>
        <v>邓娟</v>
      </c>
      <c r="B190" s="6" t="str">
        <f t="shared" si="33"/>
        <v>600088</v>
      </c>
      <c r="C190" s="7" t="str">
        <f>"5860406023828"</f>
        <v>5860406023828</v>
      </c>
      <c r="D190" s="2">
        <v>58</v>
      </c>
      <c r="E190" s="8">
        <f t="shared" si="34"/>
        <v>29</v>
      </c>
      <c r="F190" s="2"/>
      <c r="G190" s="2"/>
      <c r="H190" s="9"/>
      <c r="I190" s="10">
        <v>29</v>
      </c>
      <c r="J190" s="11">
        <v>37</v>
      </c>
      <c r="K190" s="18" t="s">
        <v>12</v>
      </c>
    </row>
    <row r="191" spans="1:11" s="12" customFormat="1" ht="18" customHeight="1">
      <c r="A191" s="6" t="str">
        <f>"徐上钧"</f>
        <v>徐上钧</v>
      </c>
      <c r="B191" s="6" t="str">
        <f>"600089"</f>
        <v>600089</v>
      </c>
      <c r="C191" s="7" t="str">
        <f>"5860406024006"</f>
        <v>5860406024006</v>
      </c>
      <c r="D191" s="2">
        <v>48</v>
      </c>
      <c r="E191" s="8">
        <f aca="true" t="shared" si="35" ref="E191:E197">(D191+H191)*0.5</f>
        <v>24</v>
      </c>
      <c r="F191" s="2"/>
      <c r="G191" s="2"/>
      <c r="H191" s="9"/>
      <c r="I191" s="10">
        <v>24</v>
      </c>
      <c r="J191" s="11">
        <v>34</v>
      </c>
      <c r="K191" s="18" t="s">
        <v>12</v>
      </c>
    </row>
    <row r="192" spans="1:11" s="12" customFormat="1" ht="18" customHeight="1">
      <c r="A192" s="6" t="str">
        <f>"李本华"</f>
        <v>李本华</v>
      </c>
      <c r="B192" s="6" t="str">
        <f>"600089"</f>
        <v>600089</v>
      </c>
      <c r="C192" s="7" t="str">
        <f>"5860406024009"</f>
        <v>5860406024009</v>
      </c>
      <c r="D192" s="2">
        <v>48</v>
      </c>
      <c r="E192" s="8">
        <f t="shared" si="35"/>
        <v>24</v>
      </c>
      <c r="F192" s="2"/>
      <c r="G192" s="2"/>
      <c r="H192" s="9"/>
      <c r="I192" s="10">
        <v>24</v>
      </c>
      <c r="J192" s="11">
        <v>34</v>
      </c>
      <c r="K192" s="18" t="s">
        <v>12</v>
      </c>
    </row>
    <row r="193" spans="1:11" s="12" customFormat="1" ht="18" customHeight="1">
      <c r="A193" s="6" t="str">
        <f>"袁渺淼"</f>
        <v>袁渺淼</v>
      </c>
      <c r="B193" s="6" t="str">
        <f>"600089"</f>
        <v>600089</v>
      </c>
      <c r="C193" s="7" t="str">
        <f>"5860406023923"</f>
        <v>5860406023923</v>
      </c>
      <c r="D193" s="2">
        <v>47</v>
      </c>
      <c r="E193" s="8">
        <f t="shared" si="35"/>
        <v>23.5</v>
      </c>
      <c r="F193" s="2"/>
      <c r="G193" s="2"/>
      <c r="H193" s="9"/>
      <c r="I193" s="10">
        <v>23.5</v>
      </c>
      <c r="J193" s="11">
        <v>36</v>
      </c>
      <c r="K193" s="18" t="s">
        <v>12</v>
      </c>
    </row>
    <row r="194" spans="1:11" s="12" customFormat="1" ht="18" customHeight="1">
      <c r="A194" s="6" t="str">
        <f>"张小红"</f>
        <v>张小红</v>
      </c>
      <c r="B194" s="6" t="str">
        <f>"600089"</f>
        <v>600089</v>
      </c>
      <c r="C194" s="7" t="str">
        <f>"5860406023921"</f>
        <v>5860406023921</v>
      </c>
      <c r="D194" s="2">
        <v>45</v>
      </c>
      <c r="E194" s="8">
        <f t="shared" si="35"/>
        <v>22.5</v>
      </c>
      <c r="F194" s="2"/>
      <c r="G194" s="2"/>
      <c r="H194" s="9"/>
      <c r="I194" s="10">
        <v>22.5</v>
      </c>
      <c r="J194" s="11">
        <v>37</v>
      </c>
      <c r="K194" s="18" t="s">
        <v>12</v>
      </c>
    </row>
    <row r="195" spans="1:11" s="12" customFormat="1" ht="18" customHeight="1">
      <c r="A195" s="6" t="str">
        <f>"汤修林"</f>
        <v>汤修林</v>
      </c>
      <c r="B195" s="6" t="str">
        <f>"600089"</f>
        <v>600089</v>
      </c>
      <c r="C195" s="7" t="str">
        <f>"5860406023909"</f>
        <v>5860406023909</v>
      </c>
      <c r="D195" s="2">
        <v>38</v>
      </c>
      <c r="E195" s="8">
        <f t="shared" si="35"/>
        <v>19</v>
      </c>
      <c r="F195" s="2"/>
      <c r="G195" s="2"/>
      <c r="H195" s="9"/>
      <c r="I195" s="10">
        <v>19</v>
      </c>
      <c r="J195" s="11">
        <v>38</v>
      </c>
      <c r="K195" s="18" t="s">
        <v>12</v>
      </c>
    </row>
    <row r="196" spans="1:11" s="12" customFormat="1" ht="18" customHeight="1">
      <c r="A196" s="6" t="str">
        <f>"江朋"</f>
        <v>江朋</v>
      </c>
      <c r="B196" s="6" t="str">
        <f>"600090"</f>
        <v>600090</v>
      </c>
      <c r="C196" s="7" t="str">
        <f>"5860406024020"</f>
        <v>5860406024020</v>
      </c>
      <c r="D196" s="2">
        <v>45</v>
      </c>
      <c r="E196" s="8">
        <f t="shared" si="35"/>
        <v>22.5</v>
      </c>
      <c r="F196" s="2"/>
      <c r="G196" s="2"/>
      <c r="H196" s="9"/>
      <c r="I196" s="10">
        <v>22.5</v>
      </c>
      <c r="J196" s="11">
        <v>11</v>
      </c>
      <c r="K196" s="18" t="s">
        <v>12</v>
      </c>
    </row>
    <row r="197" spans="1:11" s="12" customFormat="1" ht="18" customHeight="1">
      <c r="A197" s="6" t="str">
        <f>"范力菁"</f>
        <v>范力菁</v>
      </c>
      <c r="B197" s="6" t="str">
        <f>"600094"</f>
        <v>600094</v>
      </c>
      <c r="C197" s="7" t="str">
        <f>"5860406024128"</f>
        <v>5860406024128</v>
      </c>
      <c r="D197" s="2">
        <v>46</v>
      </c>
      <c r="E197" s="8">
        <f t="shared" si="35"/>
        <v>23</v>
      </c>
      <c r="F197" s="2"/>
      <c r="G197" s="2"/>
      <c r="H197" s="9"/>
      <c r="I197" s="10">
        <v>23</v>
      </c>
      <c r="J197" s="11">
        <v>5</v>
      </c>
      <c r="K197" s="18" t="s">
        <v>14</v>
      </c>
    </row>
    <row r="198" spans="1:11" s="12" customFormat="1" ht="18" customHeight="1">
      <c r="A198" s="6" t="str">
        <f>"彭梦"</f>
        <v>彭梦</v>
      </c>
      <c r="B198" s="6" t="str">
        <f>"600127"</f>
        <v>600127</v>
      </c>
      <c r="C198" s="7" t="str">
        <f>"6860406030515"</f>
        <v>6860406030515</v>
      </c>
      <c r="D198" s="13">
        <v>53</v>
      </c>
      <c r="E198" s="8">
        <f aca="true" t="shared" si="36" ref="E198:E203">(D198+H198)*0.5</f>
        <v>26.5</v>
      </c>
      <c r="F198" s="14"/>
      <c r="G198" s="14"/>
      <c r="H198" s="9"/>
      <c r="I198" s="10">
        <v>26.5</v>
      </c>
      <c r="J198" s="11">
        <v>5</v>
      </c>
      <c r="K198" s="18" t="s">
        <v>12</v>
      </c>
    </row>
    <row r="199" spans="1:11" s="12" customFormat="1" ht="18" customHeight="1">
      <c r="A199" s="6" t="str">
        <f>"陈紫惜"</f>
        <v>陈紫惜</v>
      </c>
      <c r="B199" s="6" t="str">
        <f>"600135"</f>
        <v>600135</v>
      </c>
      <c r="C199" s="7" t="str">
        <f>"6860406024822"</f>
        <v>6860406024822</v>
      </c>
      <c r="D199" s="13">
        <v>54</v>
      </c>
      <c r="E199" s="8">
        <f t="shared" si="36"/>
        <v>27</v>
      </c>
      <c r="F199" s="14"/>
      <c r="G199" s="14"/>
      <c r="H199" s="9"/>
      <c r="I199" s="10">
        <v>27</v>
      </c>
      <c r="J199" s="11">
        <v>4</v>
      </c>
      <c r="K199" s="18" t="s">
        <v>14</v>
      </c>
    </row>
    <row r="200" spans="1:11" s="12" customFormat="1" ht="18" customHeight="1">
      <c r="A200" s="6" t="str">
        <f>"胡月"</f>
        <v>胡月</v>
      </c>
      <c r="B200" s="6" t="str">
        <f>"600144"</f>
        <v>600144</v>
      </c>
      <c r="C200" s="7" t="str">
        <f>"6860406025418"</f>
        <v>6860406025418</v>
      </c>
      <c r="D200" s="13">
        <v>60</v>
      </c>
      <c r="E200" s="8">
        <f t="shared" si="36"/>
        <v>30</v>
      </c>
      <c r="F200" s="14"/>
      <c r="G200" s="14"/>
      <c r="H200" s="9"/>
      <c r="I200" s="10">
        <v>30</v>
      </c>
      <c r="J200" s="11">
        <v>4</v>
      </c>
      <c r="K200" s="18" t="s">
        <v>12</v>
      </c>
    </row>
    <row r="201" spans="1:11" s="12" customFormat="1" ht="18" customHeight="1">
      <c r="A201" s="6" t="str">
        <f>"沈玲玲"</f>
        <v>沈玲玲</v>
      </c>
      <c r="B201" s="6" t="str">
        <f>"600144"</f>
        <v>600144</v>
      </c>
      <c r="C201" s="7" t="str">
        <f>"6860406025420"</f>
        <v>6860406025420</v>
      </c>
      <c r="D201" s="13">
        <v>60</v>
      </c>
      <c r="E201" s="8">
        <f t="shared" si="36"/>
        <v>30</v>
      </c>
      <c r="F201" s="14"/>
      <c r="G201" s="14"/>
      <c r="H201" s="9"/>
      <c r="I201" s="10">
        <v>30</v>
      </c>
      <c r="J201" s="11">
        <v>4</v>
      </c>
      <c r="K201" s="18" t="s">
        <v>12</v>
      </c>
    </row>
    <row r="202" spans="1:11" s="12" customFormat="1" ht="18" customHeight="1">
      <c r="A202" s="6" t="str">
        <f>"王鑫欣"</f>
        <v>王鑫欣</v>
      </c>
      <c r="B202" s="6" t="str">
        <f>"600149"</f>
        <v>600149</v>
      </c>
      <c r="C202" s="7" t="str">
        <f>"6860406025704"</f>
        <v>6860406025704</v>
      </c>
      <c r="D202" s="13">
        <v>58</v>
      </c>
      <c r="E202" s="8">
        <f t="shared" si="36"/>
        <v>29</v>
      </c>
      <c r="F202" s="14"/>
      <c r="G202" s="14"/>
      <c r="H202" s="9"/>
      <c r="I202" s="10">
        <v>29</v>
      </c>
      <c r="J202" s="11">
        <v>4</v>
      </c>
      <c r="K202" s="18" t="s">
        <v>12</v>
      </c>
    </row>
    <row r="203" spans="1:11" s="12" customFormat="1" ht="18" customHeight="1">
      <c r="A203" s="6" t="str">
        <f>"颜文君"</f>
        <v>颜文君</v>
      </c>
      <c r="B203" s="6" t="str">
        <f>"600149"</f>
        <v>600149</v>
      </c>
      <c r="C203" s="7" t="str">
        <f>"6860406025629"</f>
        <v>6860406025629</v>
      </c>
      <c r="D203" s="13">
        <v>56</v>
      </c>
      <c r="E203" s="8">
        <f t="shared" si="36"/>
        <v>28</v>
      </c>
      <c r="F203" s="14"/>
      <c r="G203" s="14"/>
      <c r="H203" s="9"/>
      <c r="I203" s="10">
        <v>28</v>
      </c>
      <c r="J203" s="11">
        <v>5</v>
      </c>
      <c r="K203" s="18" t="s">
        <v>12</v>
      </c>
    </row>
    <row r="204" spans="1:11" s="12" customFormat="1" ht="18" customHeight="1">
      <c r="A204" s="6" t="str">
        <f>"陈桑田"</f>
        <v>陈桑田</v>
      </c>
      <c r="B204" s="6" t="str">
        <f aca="true" t="shared" si="37" ref="B204:B212">"600153"</f>
        <v>600153</v>
      </c>
      <c r="C204" s="7" t="str">
        <f>"6860406026011"</f>
        <v>6860406026011</v>
      </c>
      <c r="D204" s="13">
        <v>54</v>
      </c>
      <c r="E204" s="8">
        <f aca="true" t="shared" si="38" ref="E204:E212">(D204+H204)*0.5</f>
        <v>27</v>
      </c>
      <c r="F204" s="14"/>
      <c r="G204" s="14"/>
      <c r="H204" s="9"/>
      <c r="I204" s="10">
        <v>27</v>
      </c>
      <c r="J204" s="11">
        <v>45</v>
      </c>
      <c r="K204" s="18" t="s">
        <v>14</v>
      </c>
    </row>
    <row r="205" spans="1:11" s="12" customFormat="1" ht="18" customHeight="1">
      <c r="A205" s="6" t="str">
        <f>"唐明桌"</f>
        <v>唐明桌</v>
      </c>
      <c r="B205" s="6" t="str">
        <f t="shared" si="37"/>
        <v>600153</v>
      </c>
      <c r="C205" s="7" t="str">
        <f>"6860406026028"</f>
        <v>6860406026028</v>
      </c>
      <c r="D205" s="13">
        <v>54</v>
      </c>
      <c r="E205" s="8">
        <f t="shared" si="38"/>
        <v>27</v>
      </c>
      <c r="F205" s="14"/>
      <c r="G205" s="14"/>
      <c r="H205" s="9"/>
      <c r="I205" s="10">
        <v>27</v>
      </c>
      <c r="J205" s="11">
        <v>45</v>
      </c>
      <c r="K205" s="18" t="s">
        <v>12</v>
      </c>
    </row>
    <row r="206" spans="1:11" s="12" customFormat="1" ht="18" customHeight="1">
      <c r="A206" s="6" t="str">
        <f>"陈向龙"</f>
        <v>陈向龙</v>
      </c>
      <c r="B206" s="6" t="str">
        <f t="shared" si="37"/>
        <v>600153</v>
      </c>
      <c r="C206" s="7" t="str">
        <f>"6860406026029"</f>
        <v>6860406026029</v>
      </c>
      <c r="D206" s="13">
        <v>54</v>
      </c>
      <c r="E206" s="8">
        <f t="shared" si="38"/>
        <v>27</v>
      </c>
      <c r="F206" s="14"/>
      <c r="G206" s="14"/>
      <c r="H206" s="9"/>
      <c r="I206" s="10">
        <v>27</v>
      </c>
      <c r="J206" s="11">
        <v>45</v>
      </c>
      <c r="K206" s="18" t="s">
        <v>12</v>
      </c>
    </row>
    <row r="207" spans="1:11" s="12" customFormat="1" ht="18" customHeight="1">
      <c r="A207" s="6" t="str">
        <f>"杜鹏"</f>
        <v>杜鹏</v>
      </c>
      <c r="B207" s="6" t="str">
        <f t="shared" si="37"/>
        <v>600153</v>
      </c>
      <c r="C207" s="7" t="str">
        <f>"6860406026030"</f>
        <v>6860406026030</v>
      </c>
      <c r="D207" s="13">
        <v>54</v>
      </c>
      <c r="E207" s="8">
        <f t="shared" si="38"/>
        <v>27</v>
      </c>
      <c r="F207" s="14"/>
      <c r="G207" s="14"/>
      <c r="H207" s="9"/>
      <c r="I207" s="10">
        <v>27</v>
      </c>
      <c r="J207" s="11">
        <v>45</v>
      </c>
      <c r="K207" s="18" t="s">
        <v>12</v>
      </c>
    </row>
    <row r="208" spans="1:11" s="12" customFormat="1" ht="18" customHeight="1">
      <c r="A208" s="6" t="str">
        <f>"郑欣"</f>
        <v>郑欣</v>
      </c>
      <c r="B208" s="6" t="str">
        <f t="shared" si="37"/>
        <v>600153</v>
      </c>
      <c r="C208" s="7" t="str">
        <f>"6860406025927"</f>
        <v>6860406025927</v>
      </c>
      <c r="D208" s="13">
        <v>53</v>
      </c>
      <c r="E208" s="8">
        <f t="shared" si="38"/>
        <v>26.5</v>
      </c>
      <c r="F208" s="14"/>
      <c r="G208" s="14"/>
      <c r="H208" s="9"/>
      <c r="I208" s="10">
        <v>26.5</v>
      </c>
      <c r="J208" s="11">
        <v>49</v>
      </c>
      <c r="K208" s="18" t="s">
        <v>14</v>
      </c>
    </row>
    <row r="209" spans="1:11" s="12" customFormat="1" ht="18" customHeight="1">
      <c r="A209" s="6" t="str">
        <f>"梁清波"</f>
        <v>梁清波</v>
      </c>
      <c r="B209" s="6" t="str">
        <f t="shared" si="37"/>
        <v>600153</v>
      </c>
      <c r="C209" s="7" t="str">
        <f>"6860406026102"</f>
        <v>6860406026102</v>
      </c>
      <c r="D209" s="13">
        <v>53</v>
      </c>
      <c r="E209" s="8">
        <f t="shared" si="38"/>
        <v>26.5</v>
      </c>
      <c r="F209" s="14"/>
      <c r="G209" s="14"/>
      <c r="H209" s="9"/>
      <c r="I209" s="10">
        <v>26.5</v>
      </c>
      <c r="J209" s="11">
        <v>49</v>
      </c>
      <c r="K209" s="18" t="s">
        <v>12</v>
      </c>
    </row>
    <row r="210" spans="1:11" s="12" customFormat="1" ht="18" customHeight="1">
      <c r="A210" s="6" t="str">
        <f>"刘燕"</f>
        <v>刘燕</v>
      </c>
      <c r="B210" s="6" t="str">
        <f t="shared" si="37"/>
        <v>600153</v>
      </c>
      <c r="C210" s="7" t="str">
        <f>"6860406026023"</f>
        <v>6860406026023</v>
      </c>
      <c r="D210" s="13">
        <v>47</v>
      </c>
      <c r="E210" s="8">
        <f t="shared" si="38"/>
        <v>26.5</v>
      </c>
      <c r="F210" s="14"/>
      <c r="G210" s="14"/>
      <c r="H210" s="9">
        <v>6</v>
      </c>
      <c r="I210" s="10">
        <v>26.5</v>
      </c>
      <c r="J210" s="11">
        <v>51</v>
      </c>
      <c r="K210" s="18" t="s">
        <v>12</v>
      </c>
    </row>
    <row r="211" spans="1:11" s="12" customFormat="1" ht="18" customHeight="1">
      <c r="A211" s="6" t="str">
        <f>"杨宗霖"</f>
        <v>杨宗霖</v>
      </c>
      <c r="B211" s="6" t="str">
        <f t="shared" si="37"/>
        <v>600153</v>
      </c>
      <c r="C211" s="7" t="str">
        <f>"6860406025917"</f>
        <v>6860406025917</v>
      </c>
      <c r="D211" s="13">
        <v>52</v>
      </c>
      <c r="E211" s="8">
        <f t="shared" si="38"/>
        <v>26</v>
      </c>
      <c r="F211" s="14"/>
      <c r="G211" s="14"/>
      <c r="H211" s="9"/>
      <c r="I211" s="10">
        <v>26</v>
      </c>
      <c r="J211" s="11">
        <v>52</v>
      </c>
      <c r="K211" s="18" t="s">
        <v>12</v>
      </c>
    </row>
    <row r="212" spans="1:11" s="12" customFormat="1" ht="18" customHeight="1">
      <c r="A212" s="6" t="str">
        <f>"陈星"</f>
        <v>陈星</v>
      </c>
      <c r="B212" s="6" t="str">
        <f t="shared" si="37"/>
        <v>600153</v>
      </c>
      <c r="C212" s="7" t="str">
        <f>"6860406026113"</f>
        <v>6860406026113</v>
      </c>
      <c r="D212" s="13">
        <v>52</v>
      </c>
      <c r="E212" s="8">
        <f t="shared" si="38"/>
        <v>26</v>
      </c>
      <c r="F212" s="14"/>
      <c r="G212" s="14"/>
      <c r="H212" s="9"/>
      <c r="I212" s="10">
        <v>26</v>
      </c>
      <c r="J212" s="11">
        <v>52</v>
      </c>
      <c r="K212" s="18" t="s">
        <v>12</v>
      </c>
    </row>
    <row r="213" spans="1:11" s="12" customFormat="1" ht="18" customHeight="1">
      <c r="A213" s="6" t="str">
        <f>"钟薇薇"</f>
        <v>钟薇薇</v>
      </c>
      <c r="B213" s="6" t="str">
        <f>"600154"</f>
        <v>600154</v>
      </c>
      <c r="C213" s="7" t="str">
        <f>"6860406026126"</f>
        <v>6860406026126</v>
      </c>
      <c r="D213" s="13">
        <v>49</v>
      </c>
      <c r="E213" s="8">
        <f>(D213+H213)*0.5</f>
        <v>24.5</v>
      </c>
      <c r="F213" s="14"/>
      <c r="G213" s="14"/>
      <c r="H213" s="9"/>
      <c r="I213" s="10">
        <v>24.5</v>
      </c>
      <c r="J213" s="11">
        <v>31</v>
      </c>
      <c r="K213" s="18" t="s">
        <v>14</v>
      </c>
    </row>
    <row r="214" spans="1:11" s="12" customFormat="1" ht="18" customHeight="1">
      <c r="A214" s="6" t="str">
        <f>"唐乙荃"</f>
        <v>唐乙荃</v>
      </c>
      <c r="B214" s="6" t="str">
        <f>"600154"</f>
        <v>600154</v>
      </c>
      <c r="C214" s="7" t="str">
        <f>"6860406026303"</f>
        <v>6860406026303</v>
      </c>
      <c r="D214" s="13">
        <v>48</v>
      </c>
      <c r="E214" s="8">
        <f>(D214+H214)*0.5</f>
        <v>24</v>
      </c>
      <c r="F214" s="14"/>
      <c r="G214" s="14"/>
      <c r="H214" s="9"/>
      <c r="I214" s="10">
        <v>24</v>
      </c>
      <c r="J214" s="11">
        <v>32</v>
      </c>
      <c r="K214" s="18" t="s">
        <v>12</v>
      </c>
    </row>
    <row r="215" spans="1:11" s="12" customFormat="1" ht="18" customHeight="1">
      <c r="A215" s="6" t="str">
        <f>"陈波"</f>
        <v>陈波</v>
      </c>
      <c r="B215" s="6" t="str">
        <f>"600154"</f>
        <v>600154</v>
      </c>
      <c r="C215" s="7" t="str">
        <f>"6860406026129"</f>
        <v>6860406026129</v>
      </c>
      <c r="D215" s="13">
        <v>46</v>
      </c>
      <c r="E215" s="8">
        <f>(D215+H215)*0.5</f>
        <v>23</v>
      </c>
      <c r="F215" s="14"/>
      <c r="G215" s="14"/>
      <c r="H215" s="9"/>
      <c r="I215" s="10">
        <v>23</v>
      </c>
      <c r="J215" s="11">
        <v>33</v>
      </c>
      <c r="K215" s="18" t="s">
        <v>12</v>
      </c>
    </row>
    <row r="216" spans="1:11" s="12" customFormat="1" ht="18" customHeight="1">
      <c r="A216" s="6" t="str">
        <f>"吴小川"</f>
        <v>吴小川</v>
      </c>
      <c r="B216" s="6" t="str">
        <f>"600154"</f>
        <v>600154</v>
      </c>
      <c r="C216" s="7" t="str">
        <f>"6860406026213"</f>
        <v>6860406026213</v>
      </c>
      <c r="D216" s="13">
        <v>46</v>
      </c>
      <c r="E216" s="8">
        <f>(D216+H216)*0.5</f>
        <v>23</v>
      </c>
      <c r="F216" s="14"/>
      <c r="G216" s="14"/>
      <c r="H216" s="9"/>
      <c r="I216" s="10">
        <v>23</v>
      </c>
      <c r="J216" s="11">
        <v>33</v>
      </c>
      <c r="K216" s="18" t="s">
        <v>14</v>
      </c>
    </row>
    <row r="217" spans="1:11" s="12" customFormat="1" ht="18" customHeight="1">
      <c r="A217" s="6" t="str">
        <f>"何小成"</f>
        <v>何小成</v>
      </c>
      <c r="B217" s="6" t="str">
        <f>"600097"</f>
        <v>600097</v>
      </c>
      <c r="C217" s="7" t="str">
        <f>"6860406031211"</f>
        <v>6860406031211</v>
      </c>
      <c r="D217" s="13">
        <v>52</v>
      </c>
      <c r="E217" s="15">
        <f aca="true" t="shared" si="39" ref="E217:E222">D217*0.5</f>
        <v>26</v>
      </c>
      <c r="F217" s="1">
        <v>70</v>
      </c>
      <c r="G217" s="1">
        <f aca="true" t="shared" si="40" ref="G217:G222">F217*0.5</f>
        <v>35</v>
      </c>
      <c r="H217" s="9"/>
      <c r="I217" s="10">
        <f aca="true" t="shared" si="41" ref="I217:I222">E217+G217+H217</f>
        <v>61</v>
      </c>
      <c r="J217" s="11">
        <v>16</v>
      </c>
      <c r="K217" s="18" t="s">
        <v>14</v>
      </c>
    </row>
    <row r="218" spans="1:11" s="12" customFormat="1" ht="18" customHeight="1">
      <c r="A218" s="6" t="str">
        <f>"吴发英"</f>
        <v>吴发英</v>
      </c>
      <c r="B218" s="6" t="str">
        <f>"600099"</f>
        <v>600099</v>
      </c>
      <c r="C218" s="7" t="str">
        <f>"6860406032924"</f>
        <v>6860406032924</v>
      </c>
      <c r="D218" s="13">
        <v>48</v>
      </c>
      <c r="E218" s="15">
        <f t="shared" si="39"/>
        <v>24</v>
      </c>
      <c r="F218" s="1">
        <v>64</v>
      </c>
      <c r="G218" s="1">
        <f t="shared" si="40"/>
        <v>32</v>
      </c>
      <c r="H218" s="9"/>
      <c r="I218" s="10">
        <f t="shared" si="41"/>
        <v>56</v>
      </c>
      <c r="J218" s="11">
        <v>3</v>
      </c>
      <c r="K218" s="18" t="s">
        <v>12</v>
      </c>
    </row>
    <row r="219" spans="1:11" s="12" customFormat="1" ht="18" customHeight="1">
      <c r="A219" s="6" t="str">
        <f>"唐俊"</f>
        <v>唐俊</v>
      </c>
      <c r="B219" s="6" t="str">
        <f>"600102"</f>
        <v>600102</v>
      </c>
      <c r="C219" s="7" t="str">
        <f>"6860406031224"</f>
        <v>6860406031224</v>
      </c>
      <c r="D219" s="13">
        <v>54</v>
      </c>
      <c r="E219" s="15">
        <f t="shared" si="39"/>
        <v>27</v>
      </c>
      <c r="F219" s="1">
        <v>52</v>
      </c>
      <c r="G219" s="1">
        <f t="shared" si="40"/>
        <v>26</v>
      </c>
      <c r="H219" s="9"/>
      <c r="I219" s="10">
        <f t="shared" si="41"/>
        <v>53</v>
      </c>
      <c r="J219" s="11">
        <v>3</v>
      </c>
      <c r="K219" s="18" t="s">
        <v>14</v>
      </c>
    </row>
    <row r="220" spans="1:11" s="12" customFormat="1" ht="18" customHeight="1">
      <c r="A220" s="6" t="str">
        <f>"沈潇"</f>
        <v>沈潇</v>
      </c>
      <c r="B220" s="6" t="str">
        <f>"600114"</f>
        <v>600114</v>
      </c>
      <c r="C220" s="7" t="str">
        <f>"6860406031423"</f>
        <v>6860406031423</v>
      </c>
      <c r="D220" s="13">
        <v>60</v>
      </c>
      <c r="E220" s="15">
        <f t="shared" si="39"/>
        <v>30</v>
      </c>
      <c r="F220" s="1">
        <v>67</v>
      </c>
      <c r="G220" s="1">
        <f t="shared" si="40"/>
        <v>33.5</v>
      </c>
      <c r="H220" s="9"/>
      <c r="I220" s="10">
        <f t="shared" si="41"/>
        <v>63.5</v>
      </c>
      <c r="J220" s="11">
        <v>2</v>
      </c>
      <c r="K220" s="18" t="s">
        <v>14</v>
      </c>
    </row>
    <row r="221" spans="1:11" s="12" customFormat="1" ht="18" customHeight="1">
      <c r="A221" s="6" t="str">
        <f>"胡欢欢"</f>
        <v>胡欢欢</v>
      </c>
      <c r="B221" s="6" t="str">
        <f>"600119"</f>
        <v>600119</v>
      </c>
      <c r="C221" s="7" t="str">
        <f>"6860406031513"</f>
        <v>6860406031513</v>
      </c>
      <c r="D221" s="13">
        <v>48</v>
      </c>
      <c r="E221" s="15">
        <f t="shared" si="39"/>
        <v>24</v>
      </c>
      <c r="F221" s="1">
        <v>62</v>
      </c>
      <c r="G221" s="1">
        <f t="shared" si="40"/>
        <v>31</v>
      </c>
      <c r="H221" s="9"/>
      <c r="I221" s="10">
        <f t="shared" si="41"/>
        <v>55</v>
      </c>
      <c r="J221" s="11">
        <v>15</v>
      </c>
      <c r="K221" s="18" t="s">
        <v>14</v>
      </c>
    </row>
    <row r="222" spans="1:11" s="12" customFormat="1" ht="18" customHeight="1">
      <c r="A222" s="6" t="str">
        <f>"饶德清"</f>
        <v>饶德清</v>
      </c>
      <c r="B222" s="6" t="str">
        <f>"600121"</f>
        <v>600121</v>
      </c>
      <c r="C222" s="7" t="str">
        <f>"6860406033505"</f>
        <v>6860406033505</v>
      </c>
      <c r="D222" s="13">
        <v>53</v>
      </c>
      <c r="E222" s="15">
        <f t="shared" si="39"/>
        <v>26.5</v>
      </c>
      <c r="F222" s="1">
        <v>64</v>
      </c>
      <c r="G222" s="1">
        <f t="shared" si="40"/>
        <v>32</v>
      </c>
      <c r="H222" s="9"/>
      <c r="I222" s="10">
        <f t="shared" si="41"/>
        <v>58.5</v>
      </c>
      <c r="J222" s="11">
        <v>40</v>
      </c>
      <c r="K222" s="18" t="s">
        <v>12</v>
      </c>
    </row>
  </sheetData>
  <sheetProtection/>
  <mergeCells count="2">
    <mergeCell ref="A2:K2"/>
    <mergeCell ref="A1:K1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2016-07-12T08:44:17Z</cp:lastPrinted>
  <dcterms:created xsi:type="dcterms:W3CDTF">2006-09-16T00:00:00Z</dcterms:created>
  <dcterms:modified xsi:type="dcterms:W3CDTF">2016-07-13T02:46:24Z</dcterms:modified>
  <cp:category/>
  <cp:version/>
  <cp:contentType/>
  <cp:contentStatus/>
</cp:coreProperties>
</file>