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30" activeTab="0"/>
  </bookViews>
  <sheets>
    <sheet name="县职中新校区" sheetId="1" r:id="rId1"/>
  </sheets>
  <definedNames/>
  <calcPr fullCalcOnLoad="1"/>
</workbook>
</file>

<file path=xl/sharedStrings.xml><?xml version="1.0" encoding="utf-8"?>
<sst xmlns="http://schemas.openxmlformats.org/spreadsheetml/2006/main" count="160" uniqueCount="14">
  <si>
    <t>姓名</t>
  </si>
  <si>
    <t>准考证号</t>
  </si>
  <si>
    <t>报考岗位编码</t>
  </si>
  <si>
    <t>公共知识成绩</t>
  </si>
  <si>
    <t>公共知识成绩折合</t>
  </si>
  <si>
    <t>专业知识成绩</t>
  </si>
  <si>
    <t>专业知识成绩折合</t>
  </si>
  <si>
    <t>政策性加分</t>
  </si>
  <si>
    <t>折合后笔试总成绩</t>
  </si>
  <si>
    <t>笔试总成绩排名</t>
  </si>
  <si>
    <t>面试地点</t>
  </si>
  <si>
    <t>职中新校区</t>
  </si>
  <si>
    <t>附表三：</t>
  </si>
  <si>
    <t>大竹县2016年部分事业单位招聘工作人员面试入围人员名单（其他岗位）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</si>
</sst>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8"/>
      <name val="方正仿宋简体"/>
      <family val="4"/>
    </font>
    <font>
      <sz val="9"/>
      <name val="方正仿宋简体"/>
      <family val="4"/>
    </font>
    <font>
      <sz val="14"/>
      <color indexed="8"/>
      <name val="方正大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84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130" zoomScaleNormal="130" workbookViewId="0" topLeftCell="A1">
      <selection activeCell="A2" sqref="A2:K2"/>
    </sheetView>
  </sheetViews>
  <sheetFormatPr defaultColWidth="9.00390625" defaultRowHeight="13.5"/>
  <cols>
    <col min="1" max="1" width="8.00390625" style="1" customWidth="1"/>
    <col min="2" max="2" width="12.25390625" style="3" customWidth="1"/>
    <col min="3" max="3" width="7.50390625" style="1" customWidth="1"/>
    <col min="4" max="4" width="6.125" style="1" customWidth="1"/>
    <col min="5" max="5" width="7.875" style="1" customWidth="1"/>
    <col min="6" max="6" width="6.375" style="1" customWidth="1"/>
    <col min="7" max="7" width="7.50390625" style="1" customWidth="1"/>
    <col min="8" max="8" width="6.125" style="1" customWidth="1"/>
    <col min="9" max="9" width="9.75390625" style="1" customWidth="1"/>
    <col min="10" max="10" width="6.875" style="1" customWidth="1"/>
    <col min="11" max="11" width="13.625" style="1" customWidth="1"/>
    <col min="12" max="16384" width="9.00390625" style="1" customWidth="1"/>
  </cols>
  <sheetData>
    <row r="1" spans="1:11" ht="13.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6.2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8.25" customHeight="1">
      <c r="A3" s="5" t="s">
        <v>0</v>
      </c>
      <c r="B3" s="5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s="2" customFormat="1" ht="13.5">
      <c r="A4" s="5" t="str">
        <f>"张春丹"</f>
        <v>张春丹</v>
      </c>
      <c r="B4" s="5" t="str">
        <f>"6860406030510"</f>
        <v>6860406030510</v>
      </c>
      <c r="C4" s="5" t="str">
        <f>"600127"</f>
        <v>600127</v>
      </c>
      <c r="D4" s="8">
        <v>65</v>
      </c>
      <c r="E4" s="6">
        <f aca="true" t="shared" si="0" ref="E4:E35">(D4+H4)*0.5</f>
        <v>32.5</v>
      </c>
      <c r="F4" s="4"/>
      <c r="G4" s="4"/>
      <c r="H4" s="4"/>
      <c r="I4" s="7">
        <v>32.5</v>
      </c>
      <c r="J4" s="4">
        <v>1</v>
      </c>
      <c r="K4" s="9" t="s">
        <v>11</v>
      </c>
    </row>
    <row r="5" spans="1:11" s="2" customFormat="1" ht="13.5">
      <c r="A5" s="5" t="str">
        <f>"王顺刚"</f>
        <v>王顺刚</v>
      </c>
      <c r="B5" s="5" t="str">
        <f>"6860406030509"</f>
        <v>6860406030509</v>
      </c>
      <c r="C5" s="5" t="str">
        <f>"600127"</f>
        <v>600127</v>
      </c>
      <c r="D5" s="8">
        <v>56</v>
      </c>
      <c r="E5" s="6">
        <f t="shared" si="0"/>
        <v>28</v>
      </c>
      <c r="F5" s="4"/>
      <c r="G5" s="4"/>
      <c r="H5" s="4"/>
      <c r="I5" s="7">
        <v>28</v>
      </c>
      <c r="J5" s="4">
        <v>2</v>
      </c>
      <c r="K5" s="9" t="s">
        <v>11</v>
      </c>
    </row>
    <row r="6" spans="1:11" s="2" customFormat="1" ht="13.5">
      <c r="A6" s="5" t="str">
        <f>"罗兰"</f>
        <v>罗兰</v>
      </c>
      <c r="B6" s="5" t="str">
        <f>"6860406030530"</f>
        <v>6860406030530</v>
      </c>
      <c r="C6" s="5" t="str">
        <f>"600128"</f>
        <v>600128</v>
      </c>
      <c r="D6" s="8">
        <v>70</v>
      </c>
      <c r="E6" s="6">
        <f t="shared" si="0"/>
        <v>35</v>
      </c>
      <c r="F6" s="4"/>
      <c r="G6" s="4"/>
      <c r="H6" s="4"/>
      <c r="I6" s="7">
        <v>35</v>
      </c>
      <c r="J6" s="4">
        <v>1</v>
      </c>
      <c r="K6" s="9" t="s">
        <v>11</v>
      </c>
    </row>
    <row r="7" spans="1:11" s="2" customFormat="1" ht="13.5">
      <c r="A7" s="5" t="str">
        <f>"李虹娟"</f>
        <v>李虹娟</v>
      </c>
      <c r="B7" s="5" t="str">
        <f>"6860406030517"</f>
        <v>6860406030517</v>
      </c>
      <c r="C7" s="5" t="str">
        <f>"600128"</f>
        <v>600128</v>
      </c>
      <c r="D7" s="8">
        <v>69</v>
      </c>
      <c r="E7" s="6">
        <f t="shared" si="0"/>
        <v>34.5</v>
      </c>
      <c r="F7" s="4"/>
      <c r="G7" s="4"/>
      <c r="H7" s="4"/>
      <c r="I7" s="7">
        <v>34.5</v>
      </c>
      <c r="J7" s="4">
        <v>2</v>
      </c>
      <c r="K7" s="9" t="s">
        <v>11</v>
      </c>
    </row>
    <row r="8" spans="1:11" s="2" customFormat="1" ht="13.5">
      <c r="A8" s="5" t="str">
        <f>"张莹莹"</f>
        <v>张莹莹</v>
      </c>
      <c r="B8" s="5" t="str">
        <f>"6860406030526"</f>
        <v>6860406030526</v>
      </c>
      <c r="C8" s="5" t="str">
        <f>"600128"</f>
        <v>600128</v>
      </c>
      <c r="D8" s="8">
        <v>59</v>
      </c>
      <c r="E8" s="6">
        <f t="shared" si="0"/>
        <v>33.5</v>
      </c>
      <c r="F8" s="4"/>
      <c r="G8" s="4"/>
      <c r="H8" s="4">
        <v>8</v>
      </c>
      <c r="I8" s="7">
        <v>33.5</v>
      </c>
      <c r="J8" s="4">
        <v>3</v>
      </c>
      <c r="K8" s="9" t="s">
        <v>11</v>
      </c>
    </row>
    <row r="9" spans="1:11" s="2" customFormat="1" ht="13.5">
      <c r="A9" s="5" t="str">
        <f>"杨露"</f>
        <v>杨露</v>
      </c>
      <c r="B9" s="5" t="str">
        <f>"6860406030624"</f>
        <v>6860406030624</v>
      </c>
      <c r="C9" s="5" t="str">
        <f>"600129"</f>
        <v>600129</v>
      </c>
      <c r="D9" s="8">
        <v>73</v>
      </c>
      <c r="E9" s="6">
        <f t="shared" si="0"/>
        <v>36.5</v>
      </c>
      <c r="F9" s="4"/>
      <c r="G9" s="4"/>
      <c r="H9" s="4"/>
      <c r="I9" s="7">
        <v>36.5</v>
      </c>
      <c r="J9" s="4">
        <v>1</v>
      </c>
      <c r="K9" s="9" t="s">
        <v>11</v>
      </c>
    </row>
    <row r="10" spans="1:11" s="2" customFormat="1" ht="13.5">
      <c r="A10" s="5" t="str">
        <f>"裴晓晓"</f>
        <v>裴晓晓</v>
      </c>
      <c r="B10" s="5" t="str">
        <f>"6860406030612"</f>
        <v>6860406030612</v>
      </c>
      <c r="C10" s="5" t="str">
        <f>"600129"</f>
        <v>600129</v>
      </c>
      <c r="D10" s="8">
        <v>70</v>
      </c>
      <c r="E10" s="6">
        <f t="shared" si="0"/>
        <v>35</v>
      </c>
      <c r="F10" s="4"/>
      <c r="G10" s="4"/>
      <c r="H10" s="4"/>
      <c r="I10" s="7">
        <v>35</v>
      </c>
      <c r="J10" s="4">
        <v>2</v>
      </c>
      <c r="K10" s="9" t="s">
        <v>11</v>
      </c>
    </row>
    <row r="11" spans="1:11" s="2" customFormat="1" ht="13.5">
      <c r="A11" s="5" t="str">
        <f>"郑杨"</f>
        <v>郑杨</v>
      </c>
      <c r="B11" s="5" t="str">
        <f>"6860406030621"</f>
        <v>6860406030621</v>
      </c>
      <c r="C11" s="5" t="str">
        <f>"600129"</f>
        <v>600129</v>
      </c>
      <c r="D11" s="8">
        <v>65</v>
      </c>
      <c r="E11" s="6">
        <f t="shared" si="0"/>
        <v>32.5</v>
      </c>
      <c r="F11" s="4"/>
      <c r="G11" s="4"/>
      <c r="H11" s="4"/>
      <c r="I11" s="7">
        <v>32.5</v>
      </c>
      <c r="J11" s="4">
        <v>3</v>
      </c>
      <c r="K11" s="9" t="s">
        <v>11</v>
      </c>
    </row>
    <row r="12" spans="1:11" s="2" customFormat="1" ht="13.5">
      <c r="A12" s="5" t="str">
        <f>"黄语渊"</f>
        <v>黄语渊</v>
      </c>
      <c r="B12" s="5" t="str">
        <f>"6860406030625"</f>
        <v>6860406030625</v>
      </c>
      <c r="C12" s="5" t="str">
        <f>"600129"</f>
        <v>600129</v>
      </c>
      <c r="D12" s="8">
        <v>65</v>
      </c>
      <c r="E12" s="6">
        <f t="shared" si="0"/>
        <v>32.5</v>
      </c>
      <c r="F12" s="4"/>
      <c r="G12" s="4"/>
      <c r="H12" s="4"/>
      <c r="I12" s="7">
        <v>32.5</v>
      </c>
      <c r="J12" s="4">
        <v>3</v>
      </c>
      <c r="K12" s="9" t="s">
        <v>11</v>
      </c>
    </row>
    <row r="13" spans="1:11" s="2" customFormat="1" ht="13.5">
      <c r="A13" s="5" t="str">
        <f>"罗燕青"</f>
        <v>罗燕青</v>
      </c>
      <c r="B13" s="5" t="str">
        <f>"6860406030720"</f>
        <v>6860406030720</v>
      </c>
      <c r="C13" s="5" t="str">
        <f>"600130"</f>
        <v>600130</v>
      </c>
      <c r="D13" s="8">
        <v>68</v>
      </c>
      <c r="E13" s="6">
        <f t="shared" si="0"/>
        <v>34</v>
      </c>
      <c r="F13" s="4"/>
      <c r="G13" s="4"/>
      <c r="H13" s="4"/>
      <c r="I13" s="7">
        <v>34</v>
      </c>
      <c r="J13" s="4">
        <v>1</v>
      </c>
      <c r="K13" s="9" t="s">
        <v>11</v>
      </c>
    </row>
    <row r="14" spans="1:11" s="2" customFormat="1" ht="13.5">
      <c r="A14" s="5" t="str">
        <f>"陈一黎"</f>
        <v>陈一黎</v>
      </c>
      <c r="B14" s="5" t="str">
        <f>"6860406030815"</f>
        <v>6860406030815</v>
      </c>
      <c r="C14" s="5" t="str">
        <f>"600130"</f>
        <v>600130</v>
      </c>
      <c r="D14" s="8">
        <v>67</v>
      </c>
      <c r="E14" s="6">
        <f t="shared" si="0"/>
        <v>33.5</v>
      </c>
      <c r="F14" s="4"/>
      <c r="G14" s="4"/>
      <c r="H14" s="4"/>
      <c r="I14" s="7">
        <v>33.5</v>
      </c>
      <c r="J14" s="4">
        <v>2</v>
      </c>
      <c r="K14" s="9" t="s">
        <v>11</v>
      </c>
    </row>
    <row r="15" spans="1:11" s="2" customFormat="1" ht="13.5">
      <c r="A15" s="5" t="str">
        <f>"叶曾"</f>
        <v>叶曾</v>
      </c>
      <c r="B15" s="5" t="str">
        <f>"6860406030713"</f>
        <v>6860406030713</v>
      </c>
      <c r="C15" s="5" t="str">
        <f>"600130"</f>
        <v>600130</v>
      </c>
      <c r="D15" s="8">
        <v>65</v>
      </c>
      <c r="E15" s="6">
        <f t="shared" si="0"/>
        <v>32.5</v>
      </c>
      <c r="F15" s="4"/>
      <c r="G15" s="4"/>
      <c r="H15" s="4"/>
      <c r="I15" s="7">
        <v>32.5</v>
      </c>
      <c r="J15" s="4">
        <v>3</v>
      </c>
      <c r="K15" s="9" t="s">
        <v>11</v>
      </c>
    </row>
    <row r="16" spans="1:11" s="2" customFormat="1" ht="13.5">
      <c r="A16" s="5" t="str">
        <f>"杨梅"</f>
        <v>杨梅</v>
      </c>
      <c r="B16" s="5" t="str">
        <f>"6860406030820"</f>
        <v>6860406030820</v>
      </c>
      <c r="C16" s="5" t="str">
        <f>"600130"</f>
        <v>600130</v>
      </c>
      <c r="D16" s="8">
        <v>65</v>
      </c>
      <c r="E16" s="6">
        <f t="shared" si="0"/>
        <v>32.5</v>
      </c>
      <c r="F16" s="4"/>
      <c r="G16" s="4"/>
      <c r="H16" s="4"/>
      <c r="I16" s="7">
        <v>32.5</v>
      </c>
      <c r="J16" s="4">
        <v>3</v>
      </c>
      <c r="K16" s="9" t="s">
        <v>11</v>
      </c>
    </row>
    <row r="17" spans="1:11" s="2" customFormat="1" ht="13.5">
      <c r="A17" s="5" t="str">
        <f>"周嘉丽"</f>
        <v>周嘉丽</v>
      </c>
      <c r="B17" s="5" t="str">
        <f>"6860406031021"</f>
        <v>6860406031021</v>
      </c>
      <c r="C17" s="5" t="str">
        <f aca="true" t="shared" si="1" ref="C17:C28">"600131"</f>
        <v>600131</v>
      </c>
      <c r="D17" s="8">
        <v>73</v>
      </c>
      <c r="E17" s="6">
        <f t="shared" si="0"/>
        <v>36.5</v>
      </c>
      <c r="F17" s="4"/>
      <c r="G17" s="4"/>
      <c r="H17" s="4"/>
      <c r="I17" s="7">
        <v>36.5</v>
      </c>
      <c r="J17" s="4">
        <v>1</v>
      </c>
      <c r="K17" s="9" t="s">
        <v>11</v>
      </c>
    </row>
    <row r="18" spans="1:11" s="2" customFormat="1" ht="13.5">
      <c r="A18" s="5" t="str">
        <f>"黄丽竹"</f>
        <v>黄丽竹</v>
      </c>
      <c r="B18" s="5" t="str">
        <f>"6860406030905"</f>
        <v>6860406030905</v>
      </c>
      <c r="C18" s="5" t="str">
        <f t="shared" si="1"/>
        <v>600131</v>
      </c>
      <c r="D18" s="8">
        <v>72</v>
      </c>
      <c r="E18" s="6">
        <f t="shared" si="0"/>
        <v>36</v>
      </c>
      <c r="F18" s="4"/>
      <c r="G18" s="4"/>
      <c r="H18" s="4"/>
      <c r="I18" s="7">
        <v>36</v>
      </c>
      <c r="J18" s="4">
        <v>2</v>
      </c>
      <c r="K18" s="9" t="s">
        <v>11</v>
      </c>
    </row>
    <row r="19" spans="1:11" s="2" customFormat="1" ht="13.5">
      <c r="A19" s="5" t="str">
        <f>"赵飞"</f>
        <v>赵飞</v>
      </c>
      <c r="B19" s="5" t="str">
        <f>"6860406030916"</f>
        <v>6860406030916</v>
      </c>
      <c r="C19" s="5" t="str">
        <f t="shared" si="1"/>
        <v>600131</v>
      </c>
      <c r="D19" s="8">
        <v>71</v>
      </c>
      <c r="E19" s="6">
        <f t="shared" si="0"/>
        <v>35.5</v>
      </c>
      <c r="F19" s="4"/>
      <c r="G19" s="4"/>
      <c r="H19" s="4"/>
      <c r="I19" s="7">
        <v>35.5</v>
      </c>
      <c r="J19" s="4">
        <v>3</v>
      </c>
      <c r="K19" s="9" t="s">
        <v>11</v>
      </c>
    </row>
    <row r="20" spans="1:11" s="2" customFormat="1" ht="13.5">
      <c r="A20" s="5" t="str">
        <f>"张琴"</f>
        <v>张琴</v>
      </c>
      <c r="B20" s="5" t="str">
        <f>"6860406030910"</f>
        <v>6860406030910</v>
      </c>
      <c r="C20" s="5" t="str">
        <f t="shared" si="1"/>
        <v>600131</v>
      </c>
      <c r="D20" s="8">
        <v>65</v>
      </c>
      <c r="E20" s="6">
        <f t="shared" si="0"/>
        <v>32.5</v>
      </c>
      <c r="F20" s="4"/>
      <c r="G20" s="4"/>
      <c r="H20" s="4"/>
      <c r="I20" s="7">
        <v>32.5</v>
      </c>
      <c r="J20" s="4">
        <v>4</v>
      </c>
      <c r="K20" s="9" t="s">
        <v>11</v>
      </c>
    </row>
    <row r="21" spans="1:11" s="2" customFormat="1" ht="13.5">
      <c r="A21" s="5" t="str">
        <f>"王宇"</f>
        <v>王宇</v>
      </c>
      <c r="B21" s="5" t="str">
        <f>"6860406031013"</f>
        <v>6860406031013</v>
      </c>
      <c r="C21" s="5" t="str">
        <f t="shared" si="1"/>
        <v>600131</v>
      </c>
      <c r="D21" s="8">
        <v>65</v>
      </c>
      <c r="E21" s="6">
        <f t="shared" si="0"/>
        <v>32.5</v>
      </c>
      <c r="F21" s="4"/>
      <c r="G21" s="4"/>
      <c r="H21" s="4"/>
      <c r="I21" s="7">
        <v>32.5</v>
      </c>
      <c r="J21" s="4">
        <v>4</v>
      </c>
      <c r="K21" s="9" t="s">
        <v>11</v>
      </c>
    </row>
    <row r="22" spans="1:11" s="2" customFormat="1" ht="13.5">
      <c r="A22" s="5" t="str">
        <f>"李亮"</f>
        <v>李亮</v>
      </c>
      <c r="B22" s="5" t="str">
        <f>"6860406030914"</f>
        <v>6860406030914</v>
      </c>
      <c r="C22" s="5" t="str">
        <f t="shared" si="1"/>
        <v>600131</v>
      </c>
      <c r="D22" s="8">
        <v>64</v>
      </c>
      <c r="E22" s="6">
        <f t="shared" si="0"/>
        <v>32</v>
      </c>
      <c r="F22" s="4"/>
      <c r="G22" s="4"/>
      <c r="H22" s="4"/>
      <c r="I22" s="7">
        <v>32</v>
      </c>
      <c r="J22" s="4">
        <v>6</v>
      </c>
      <c r="K22" s="9" t="s">
        <v>11</v>
      </c>
    </row>
    <row r="23" spans="1:11" s="2" customFormat="1" ht="13.5">
      <c r="A23" s="5" t="str">
        <f>"郑艳丽"</f>
        <v>郑艳丽</v>
      </c>
      <c r="B23" s="5" t="str">
        <f>"6860406031011"</f>
        <v>6860406031011</v>
      </c>
      <c r="C23" s="5" t="str">
        <f t="shared" si="1"/>
        <v>600131</v>
      </c>
      <c r="D23" s="8">
        <v>64</v>
      </c>
      <c r="E23" s="6">
        <f t="shared" si="0"/>
        <v>32</v>
      </c>
      <c r="F23" s="4"/>
      <c r="G23" s="4"/>
      <c r="H23" s="4"/>
      <c r="I23" s="7">
        <v>32</v>
      </c>
      <c r="J23" s="4">
        <v>6</v>
      </c>
      <c r="K23" s="9" t="s">
        <v>11</v>
      </c>
    </row>
    <row r="24" spans="1:11" s="2" customFormat="1" ht="13.5">
      <c r="A24" s="5" t="str">
        <f>"周青"</f>
        <v>周青</v>
      </c>
      <c r="B24" s="5" t="str">
        <f>"6860406031012"</f>
        <v>6860406031012</v>
      </c>
      <c r="C24" s="5" t="str">
        <f t="shared" si="1"/>
        <v>600131</v>
      </c>
      <c r="D24" s="8">
        <v>63</v>
      </c>
      <c r="E24" s="6">
        <f t="shared" si="0"/>
        <v>31.5</v>
      </c>
      <c r="F24" s="4"/>
      <c r="G24" s="4"/>
      <c r="H24" s="4"/>
      <c r="I24" s="7">
        <v>31.5</v>
      </c>
      <c r="J24" s="4">
        <v>9</v>
      </c>
      <c r="K24" s="9" t="s">
        <v>11</v>
      </c>
    </row>
    <row r="25" spans="1:11" s="2" customFormat="1" ht="13.5">
      <c r="A25" s="5" t="str">
        <f>"邓林"</f>
        <v>邓林</v>
      </c>
      <c r="B25" s="5" t="str">
        <f>"6860406031017"</f>
        <v>6860406031017</v>
      </c>
      <c r="C25" s="5" t="str">
        <f t="shared" si="1"/>
        <v>600131</v>
      </c>
      <c r="D25" s="8">
        <v>63</v>
      </c>
      <c r="E25" s="6">
        <f t="shared" si="0"/>
        <v>31.5</v>
      </c>
      <c r="F25" s="4"/>
      <c r="G25" s="4"/>
      <c r="H25" s="4"/>
      <c r="I25" s="7">
        <v>31.5</v>
      </c>
      <c r="J25" s="4">
        <v>9</v>
      </c>
      <c r="K25" s="9" t="s">
        <v>11</v>
      </c>
    </row>
    <row r="26" spans="1:11" s="2" customFormat="1" ht="13.5">
      <c r="A26" s="5" t="str">
        <f>"黄婧"</f>
        <v>黄婧</v>
      </c>
      <c r="B26" s="5" t="str">
        <f>"6860406030930"</f>
        <v>6860406030930</v>
      </c>
      <c r="C26" s="5" t="str">
        <f t="shared" si="1"/>
        <v>600131</v>
      </c>
      <c r="D26" s="8">
        <v>62</v>
      </c>
      <c r="E26" s="6">
        <f t="shared" si="0"/>
        <v>31</v>
      </c>
      <c r="F26" s="4"/>
      <c r="G26" s="4"/>
      <c r="H26" s="4"/>
      <c r="I26" s="7">
        <v>31</v>
      </c>
      <c r="J26" s="4">
        <v>11</v>
      </c>
      <c r="K26" s="9" t="s">
        <v>11</v>
      </c>
    </row>
    <row r="27" spans="1:11" s="2" customFormat="1" ht="13.5">
      <c r="A27" s="5" t="str">
        <f>"彭玙"</f>
        <v>彭玙</v>
      </c>
      <c r="B27" s="5" t="str">
        <f>"6860406030906"</f>
        <v>6860406030906</v>
      </c>
      <c r="C27" s="5" t="str">
        <f t="shared" si="1"/>
        <v>600131</v>
      </c>
      <c r="D27" s="8">
        <v>61</v>
      </c>
      <c r="E27" s="6">
        <f t="shared" si="0"/>
        <v>30.5</v>
      </c>
      <c r="F27" s="4"/>
      <c r="G27" s="4"/>
      <c r="H27" s="4"/>
      <c r="I27" s="7">
        <v>30.5</v>
      </c>
      <c r="J27" s="4">
        <v>12</v>
      </c>
      <c r="K27" s="9" t="s">
        <v>11</v>
      </c>
    </row>
    <row r="28" spans="1:11" s="2" customFormat="1" ht="13.5">
      <c r="A28" s="5" t="str">
        <f>"王黎黎"</f>
        <v>王黎黎</v>
      </c>
      <c r="B28" s="5" t="str">
        <f>"6860406031028"</f>
        <v>6860406031028</v>
      </c>
      <c r="C28" s="5" t="str">
        <f t="shared" si="1"/>
        <v>600131</v>
      </c>
      <c r="D28" s="8">
        <v>61</v>
      </c>
      <c r="E28" s="6">
        <f t="shared" si="0"/>
        <v>30.5</v>
      </c>
      <c r="F28" s="4"/>
      <c r="G28" s="4"/>
      <c r="H28" s="4"/>
      <c r="I28" s="7">
        <v>30.5</v>
      </c>
      <c r="J28" s="4">
        <v>12</v>
      </c>
      <c r="K28" s="9" t="s">
        <v>11</v>
      </c>
    </row>
    <row r="29" spans="1:11" s="2" customFormat="1" ht="13.5">
      <c r="A29" s="5" t="str">
        <f>"文鹏"</f>
        <v>文鹏</v>
      </c>
      <c r="B29" s="5" t="str">
        <f>"6860406024225"</f>
        <v>6860406024225</v>
      </c>
      <c r="C29" s="5" t="str">
        <f>"600132"</f>
        <v>600132</v>
      </c>
      <c r="D29" s="8">
        <v>72</v>
      </c>
      <c r="E29" s="6">
        <f t="shared" si="0"/>
        <v>36</v>
      </c>
      <c r="F29" s="4"/>
      <c r="G29" s="4"/>
      <c r="H29" s="4"/>
      <c r="I29" s="7">
        <v>36</v>
      </c>
      <c r="J29" s="4">
        <v>1</v>
      </c>
      <c r="K29" s="9" t="s">
        <v>11</v>
      </c>
    </row>
    <row r="30" spans="1:11" s="2" customFormat="1" ht="13.5">
      <c r="A30" s="5" t="str">
        <f>"朱万明"</f>
        <v>朱万明</v>
      </c>
      <c r="B30" s="5" t="str">
        <f>"6860406024218"</f>
        <v>6860406024218</v>
      </c>
      <c r="C30" s="5" t="str">
        <f>"600132"</f>
        <v>600132</v>
      </c>
      <c r="D30" s="8">
        <v>70</v>
      </c>
      <c r="E30" s="6">
        <f t="shared" si="0"/>
        <v>35</v>
      </c>
      <c r="F30" s="4"/>
      <c r="G30" s="4"/>
      <c r="H30" s="4"/>
      <c r="I30" s="7">
        <v>35</v>
      </c>
      <c r="J30" s="4">
        <v>2</v>
      </c>
      <c r="K30" s="9" t="s">
        <v>11</v>
      </c>
    </row>
    <row r="31" spans="1:11" s="2" customFormat="1" ht="13.5">
      <c r="A31" s="5" t="str">
        <f>"章怀"</f>
        <v>章怀</v>
      </c>
      <c r="B31" s="5" t="str">
        <f>"6860406024420"</f>
        <v>6860406024420</v>
      </c>
      <c r="C31" s="5" t="str">
        <f>"600132"</f>
        <v>600132</v>
      </c>
      <c r="D31" s="8">
        <v>69</v>
      </c>
      <c r="E31" s="6">
        <f t="shared" si="0"/>
        <v>34.5</v>
      </c>
      <c r="F31" s="4"/>
      <c r="G31" s="4"/>
      <c r="H31" s="4"/>
      <c r="I31" s="7">
        <v>34.5</v>
      </c>
      <c r="J31" s="4">
        <v>3</v>
      </c>
      <c r="K31" s="9" t="s">
        <v>11</v>
      </c>
    </row>
    <row r="32" spans="1:11" s="2" customFormat="1" ht="13.5">
      <c r="A32" s="5" t="str">
        <f>"张岳鹏"</f>
        <v>张岳鹏</v>
      </c>
      <c r="B32" s="5" t="str">
        <f>"6860406024530"</f>
        <v>6860406024530</v>
      </c>
      <c r="C32" s="5" t="str">
        <f>"600132"</f>
        <v>600132</v>
      </c>
      <c r="D32" s="8">
        <v>69</v>
      </c>
      <c r="E32" s="6">
        <f t="shared" si="0"/>
        <v>34.5</v>
      </c>
      <c r="F32" s="4"/>
      <c r="G32" s="4"/>
      <c r="H32" s="4"/>
      <c r="I32" s="7">
        <v>34.5</v>
      </c>
      <c r="J32" s="4">
        <v>3</v>
      </c>
      <c r="K32" s="9" t="s">
        <v>11</v>
      </c>
    </row>
    <row r="33" spans="1:11" s="2" customFormat="1" ht="13.5">
      <c r="A33" s="5" t="str">
        <f>"罗智金"</f>
        <v>罗智金</v>
      </c>
      <c r="B33" s="5" t="str">
        <f>"6860406024620"</f>
        <v>6860406024620</v>
      </c>
      <c r="C33" s="5" t="str">
        <f aca="true" t="shared" si="2" ref="C33:C38">"600134"</f>
        <v>600134</v>
      </c>
      <c r="D33" s="8">
        <v>78</v>
      </c>
      <c r="E33" s="6">
        <f t="shared" si="0"/>
        <v>39</v>
      </c>
      <c r="F33" s="4"/>
      <c r="G33" s="4"/>
      <c r="H33" s="4"/>
      <c r="I33" s="7">
        <v>39</v>
      </c>
      <c r="J33" s="4">
        <v>1</v>
      </c>
      <c r="K33" s="9" t="s">
        <v>11</v>
      </c>
    </row>
    <row r="34" spans="1:11" s="2" customFormat="1" ht="13.5">
      <c r="A34" s="5" t="str">
        <f>"唐文亚"</f>
        <v>唐文亚</v>
      </c>
      <c r="B34" s="5" t="str">
        <f>"6860406024612"</f>
        <v>6860406024612</v>
      </c>
      <c r="C34" s="5" t="str">
        <f t="shared" si="2"/>
        <v>600134</v>
      </c>
      <c r="D34" s="8">
        <v>72</v>
      </c>
      <c r="E34" s="6">
        <f t="shared" si="0"/>
        <v>36</v>
      </c>
      <c r="F34" s="4"/>
      <c r="G34" s="4"/>
      <c r="H34" s="4"/>
      <c r="I34" s="7">
        <v>36</v>
      </c>
      <c r="J34" s="4">
        <v>2</v>
      </c>
      <c r="K34" s="9" t="s">
        <v>11</v>
      </c>
    </row>
    <row r="35" spans="1:11" s="2" customFormat="1" ht="13.5">
      <c r="A35" s="5" t="str">
        <f>"贺柳"</f>
        <v>贺柳</v>
      </c>
      <c r="B35" s="5" t="str">
        <f>"6860406024621"</f>
        <v>6860406024621</v>
      </c>
      <c r="C35" s="5" t="str">
        <f t="shared" si="2"/>
        <v>600134</v>
      </c>
      <c r="D35" s="8">
        <v>68</v>
      </c>
      <c r="E35" s="6">
        <f t="shared" si="0"/>
        <v>34</v>
      </c>
      <c r="F35" s="4"/>
      <c r="G35" s="4"/>
      <c r="H35" s="4"/>
      <c r="I35" s="7">
        <v>34</v>
      </c>
      <c r="J35" s="4">
        <v>3</v>
      </c>
      <c r="K35" s="9" t="s">
        <v>11</v>
      </c>
    </row>
    <row r="36" spans="1:11" s="2" customFormat="1" ht="13.5">
      <c r="A36" s="5" t="str">
        <f>"蒋枭"</f>
        <v>蒋枭</v>
      </c>
      <c r="B36" s="5" t="str">
        <f>"6860406024725"</f>
        <v>6860406024725</v>
      </c>
      <c r="C36" s="5" t="str">
        <f t="shared" si="2"/>
        <v>600134</v>
      </c>
      <c r="D36" s="8">
        <v>68</v>
      </c>
      <c r="E36" s="6">
        <f aca="true" t="shared" si="3" ref="E36:E67">(D36+H36)*0.5</f>
        <v>34</v>
      </c>
      <c r="F36" s="4"/>
      <c r="G36" s="4"/>
      <c r="H36" s="4"/>
      <c r="I36" s="7">
        <v>34</v>
      </c>
      <c r="J36" s="4">
        <v>3</v>
      </c>
      <c r="K36" s="9" t="s">
        <v>11</v>
      </c>
    </row>
    <row r="37" spans="1:11" s="2" customFormat="1" ht="13.5">
      <c r="A37" s="5" t="str">
        <f>"刘连"</f>
        <v>刘连</v>
      </c>
      <c r="B37" s="5" t="str">
        <f>"6860406024815"</f>
        <v>6860406024815</v>
      </c>
      <c r="C37" s="5" t="str">
        <f t="shared" si="2"/>
        <v>600134</v>
      </c>
      <c r="D37" s="8">
        <v>68</v>
      </c>
      <c r="E37" s="6">
        <f t="shared" si="3"/>
        <v>34</v>
      </c>
      <c r="F37" s="4"/>
      <c r="G37" s="4"/>
      <c r="H37" s="4"/>
      <c r="I37" s="7">
        <v>34</v>
      </c>
      <c r="J37" s="4">
        <v>3</v>
      </c>
      <c r="K37" s="9" t="s">
        <v>11</v>
      </c>
    </row>
    <row r="38" spans="1:11" s="2" customFormat="1" ht="13.5">
      <c r="A38" s="5" t="str">
        <f>"廖冬旭"</f>
        <v>廖冬旭</v>
      </c>
      <c r="B38" s="5" t="str">
        <f>"6860406024723"</f>
        <v>6860406024723</v>
      </c>
      <c r="C38" s="5" t="str">
        <f t="shared" si="2"/>
        <v>600134</v>
      </c>
      <c r="D38" s="8">
        <v>67</v>
      </c>
      <c r="E38" s="6">
        <f t="shared" si="3"/>
        <v>33.5</v>
      </c>
      <c r="F38" s="4"/>
      <c r="G38" s="4"/>
      <c r="H38" s="4"/>
      <c r="I38" s="7">
        <v>33.5</v>
      </c>
      <c r="J38" s="4">
        <v>6</v>
      </c>
      <c r="K38" s="9" t="s">
        <v>11</v>
      </c>
    </row>
    <row r="39" spans="1:11" s="2" customFormat="1" ht="13.5">
      <c r="A39" s="5" t="str">
        <f>"宋凤雪"</f>
        <v>宋凤雪</v>
      </c>
      <c r="B39" s="5" t="str">
        <f>"6860406024825"</f>
        <v>6860406024825</v>
      </c>
      <c r="C39" s="5" t="str">
        <f>"600135"</f>
        <v>600135</v>
      </c>
      <c r="D39" s="8">
        <v>62</v>
      </c>
      <c r="E39" s="6">
        <f t="shared" si="3"/>
        <v>31</v>
      </c>
      <c r="F39" s="4"/>
      <c r="G39" s="4"/>
      <c r="H39" s="4"/>
      <c r="I39" s="7">
        <v>31</v>
      </c>
      <c r="J39" s="4">
        <v>1</v>
      </c>
      <c r="K39" s="9" t="s">
        <v>11</v>
      </c>
    </row>
    <row r="40" spans="1:11" s="2" customFormat="1" ht="13.5">
      <c r="A40" s="5" t="str">
        <f>"唐海灵"</f>
        <v>唐海灵</v>
      </c>
      <c r="B40" s="5" t="str">
        <f>"6860406024824"</f>
        <v>6860406024824</v>
      </c>
      <c r="C40" s="5" t="str">
        <f>"600135"</f>
        <v>600135</v>
      </c>
      <c r="D40" s="8">
        <v>57</v>
      </c>
      <c r="E40" s="6">
        <f t="shared" si="3"/>
        <v>28.5</v>
      </c>
      <c r="F40" s="4"/>
      <c r="G40" s="4"/>
      <c r="H40" s="4"/>
      <c r="I40" s="7">
        <v>28.5</v>
      </c>
      <c r="J40" s="4">
        <v>2</v>
      </c>
      <c r="K40" s="9" t="s">
        <v>11</v>
      </c>
    </row>
    <row r="41" spans="1:11" s="2" customFormat="1" ht="13.5">
      <c r="A41" s="10" t="str">
        <f>"陈紫惜"</f>
        <v>陈紫惜</v>
      </c>
      <c r="B41" s="10" t="str">
        <f>"6860406024822"</f>
        <v>6860406024822</v>
      </c>
      <c r="C41" s="10" t="str">
        <f>"600135"</f>
        <v>600135</v>
      </c>
      <c r="D41" s="11">
        <v>54</v>
      </c>
      <c r="E41" s="12">
        <f t="shared" si="3"/>
        <v>27</v>
      </c>
      <c r="F41" s="13"/>
      <c r="G41" s="13"/>
      <c r="H41" s="4"/>
      <c r="I41" s="14">
        <v>27</v>
      </c>
      <c r="J41" s="9">
        <v>4</v>
      </c>
      <c r="K41" s="9" t="s">
        <v>11</v>
      </c>
    </row>
    <row r="42" spans="1:11" s="2" customFormat="1" ht="13.5">
      <c r="A42" s="5" t="str">
        <f>"王鹏程"</f>
        <v>王鹏程</v>
      </c>
      <c r="B42" s="5" t="str">
        <f>"6860406024827"</f>
        <v>6860406024827</v>
      </c>
      <c r="C42" s="5" t="str">
        <f>"600137"</f>
        <v>600137</v>
      </c>
      <c r="D42" s="8">
        <v>68</v>
      </c>
      <c r="E42" s="6">
        <f t="shared" si="3"/>
        <v>34</v>
      </c>
      <c r="F42" s="4"/>
      <c r="G42" s="4"/>
      <c r="H42" s="4"/>
      <c r="I42" s="7">
        <v>34</v>
      </c>
      <c r="J42" s="4">
        <v>1</v>
      </c>
      <c r="K42" s="9" t="s">
        <v>11</v>
      </c>
    </row>
    <row r="43" spans="1:11" s="2" customFormat="1" ht="13.5">
      <c r="A43" s="5" t="str">
        <f>"曹坤璐"</f>
        <v>曹坤璐</v>
      </c>
      <c r="B43" s="5" t="str">
        <f>"6860406024901"</f>
        <v>6860406024901</v>
      </c>
      <c r="C43" s="5" t="str">
        <f>"600137"</f>
        <v>600137</v>
      </c>
      <c r="D43" s="8">
        <v>65</v>
      </c>
      <c r="E43" s="6">
        <f t="shared" si="3"/>
        <v>32.5</v>
      </c>
      <c r="F43" s="4"/>
      <c r="G43" s="4"/>
      <c r="H43" s="4"/>
      <c r="I43" s="7">
        <v>32.5</v>
      </c>
      <c r="J43" s="4">
        <v>2</v>
      </c>
      <c r="K43" s="9" t="s">
        <v>11</v>
      </c>
    </row>
    <row r="44" spans="1:11" s="2" customFormat="1" ht="13.5">
      <c r="A44" s="5" t="str">
        <f>"张冬梅"</f>
        <v>张冬梅</v>
      </c>
      <c r="B44" s="5" t="str">
        <f>"6860406024828"</f>
        <v>6860406024828</v>
      </c>
      <c r="C44" s="5" t="str">
        <f>"600137"</f>
        <v>600137</v>
      </c>
      <c r="D44" s="8">
        <v>64</v>
      </c>
      <c r="E44" s="6">
        <f t="shared" si="3"/>
        <v>32</v>
      </c>
      <c r="F44" s="4"/>
      <c r="G44" s="4"/>
      <c r="H44" s="4"/>
      <c r="I44" s="7">
        <v>32</v>
      </c>
      <c r="J44" s="4">
        <v>3</v>
      </c>
      <c r="K44" s="9" t="s">
        <v>11</v>
      </c>
    </row>
    <row r="45" spans="1:11" s="2" customFormat="1" ht="13.5">
      <c r="A45" s="5" t="str">
        <f>"张旭"</f>
        <v>张旭</v>
      </c>
      <c r="B45" s="5" t="str">
        <f>"6860406024909"</f>
        <v>6860406024909</v>
      </c>
      <c r="C45" s="5" t="str">
        <f>"600138"</f>
        <v>600138</v>
      </c>
      <c r="D45" s="8">
        <v>63</v>
      </c>
      <c r="E45" s="6">
        <f t="shared" si="3"/>
        <v>31.5</v>
      </c>
      <c r="F45" s="4"/>
      <c r="G45" s="4"/>
      <c r="H45" s="4"/>
      <c r="I45" s="7">
        <v>31.5</v>
      </c>
      <c r="J45" s="4">
        <v>1</v>
      </c>
      <c r="K45" s="9" t="s">
        <v>11</v>
      </c>
    </row>
    <row r="46" spans="1:11" s="2" customFormat="1" ht="13.5">
      <c r="A46" s="5" t="str">
        <f>"赖真辉"</f>
        <v>赖真辉</v>
      </c>
      <c r="B46" s="5" t="str">
        <f>"6860406024910"</f>
        <v>6860406024910</v>
      </c>
      <c r="C46" s="5" t="str">
        <f>"600138"</f>
        <v>600138</v>
      </c>
      <c r="D46" s="8">
        <v>63</v>
      </c>
      <c r="E46" s="6">
        <f t="shared" si="3"/>
        <v>31.5</v>
      </c>
      <c r="F46" s="4"/>
      <c r="G46" s="4"/>
      <c r="H46" s="4"/>
      <c r="I46" s="7">
        <v>31.5</v>
      </c>
      <c r="J46" s="4">
        <v>1</v>
      </c>
      <c r="K46" s="9" t="s">
        <v>11</v>
      </c>
    </row>
    <row r="47" spans="1:11" s="2" customFormat="1" ht="13.5">
      <c r="A47" s="5" t="str">
        <f>"宁琛"</f>
        <v>宁琛</v>
      </c>
      <c r="B47" s="5" t="str">
        <f>"6860406024920"</f>
        <v>6860406024920</v>
      </c>
      <c r="C47" s="5" t="str">
        <f>"600138"</f>
        <v>600138</v>
      </c>
      <c r="D47" s="8">
        <v>61</v>
      </c>
      <c r="E47" s="6">
        <f t="shared" si="3"/>
        <v>30.5</v>
      </c>
      <c r="F47" s="4"/>
      <c r="G47" s="4"/>
      <c r="H47" s="4"/>
      <c r="I47" s="7">
        <v>30.5</v>
      </c>
      <c r="J47" s="4">
        <v>3</v>
      </c>
      <c r="K47" s="9" t="s">
        <v>11</v>
      </c>
    </row>
    <row r="48" spans="1:11" s="2" customFormat="1" ht="13.5">
      <c r="A48" s="5" t="str">
        <f>"郭彦淋"</f>
        <v>郭彦淋</v>
      </c>
      <c r="B48" s="5" t="str">
        <f>"6860406025005"</f>
        <v>6860406025005</v>
      </c>
      <c r="C48" s="5" t="str">
        <f>"600139"</f>
        <v>600139</v>
      </c>
      <c r="D48" s="8">
        <v>68</v>
      </c>
      <c r="E48" s="6">
        <f t="shared" si="3"/>
        <v>40</v>
      </c>
      <c r="F48" s="4"/>
      <c r="G48" s="4"/>
      <c r="H48" s="4">
        <v>12</v>
      </c>
      <c r="I48" s="7">
        <v>40</v>
      </c>
      <c r="J48" s="4">
        <v>1</v>
      </c>
      <c r="K48" s="9" t="s">
        <v>11</v>
      </c>
    </row>
    <row r="49" spans="1:11" s="2" customFormat="1" ht="13.5">
      <c r="A49" s="5" t="str">
        <f>"唐天川"</f>
        <v>唐天川</v>
      </c>
      <c r="B49" s="5" t="str">
        <f>"6860406025003"</f>
        <v>6860406025003</v>
      </c>
      <c r="C49" s="5" t="str">
        <f>"600139"</f>
        <v>600139</v>
      </c>
      <c r="D49" s="8">
        <v>55</v>
      </c>
      <c r="E49" s="6">
        <f t="shared" si="3"/>
        <v>37.5</v>
      </c>
      <c r="F49" s="4"/>
      <c r="G49" s="4"/>
      <c r="H49" s="4">
        <v>20</v>
      </c>
      <c r="I49" s="7">
        <v>37.5</v>
      </c>
      <c r="J49" s="4">
        <v>2</v>
      </c>
      <c r="K49" s="9" t="s">
        <v>11</v>
      </c>
    </row>
    <row r="50" spans="1:11" s="2" customFormat="1" ht="13.5">
      <c r="A50" s="5" t="str">
        <f>"陈芝伶"</f>
        <v>陈芝伶</v>
      </c>
      <c r="B50" s="5" t="str">
        <f>"6860406025017"</f>
        <v>6860406025017</v>
      </c>
      <c r="C50" s="5" t="str">
        <f>"600139"</f>
        <v>600139</v>
      </c>
      <c r="D50" s="8">
        <v>64</v>
      </c>
      <c r="E50" s="6">
        <f t="shared" si="3"/>
        <v>35</v>
      </c>
      <c r="F50" s="4"/>
      <c r="G50" s="4"/>
      <c r="H50" s="4">
        <v>6</v>
      </c>
      <c r="I50" s="7">
        <v>35</v>
      </c>
      <c r="J50" s="4">
        <v>3</v>
      </c>
      <c r="K50" s="9" t="s">
        <v>11</v>
      </c>
    </row>
    <row r="51" spans="1:11" s="2" customFormat="1" ht="13.5">
      <c r="A51" s="5" t="str">
        <f>"邓德翠"</f>
        <v>邓德翠</v>
      </c>
      <c r="B51" s="5" t="str">
        <f>"6860406025030"</f>
        <v>6860406025030</v>
      </c>
      <c r="C51" s="5" t="str">
        <f>"600140"</f>
        <v>600140</v>
      </c>
      <c r="D51" s="8">
        <v>75</v>
      </c>
      <c r="E51" s="6">
        <f t="shared" si="3"/>
        <v>37.5</v>
      </c>
      <c r="F51" s="4"/>
      <c r="G51" s="4"/>
      <c r="H51" s="4"/>
      <c r="I51" s="7">
        <v>37.5</v>
      </c>
      <c r="J51" s="4">
        <v>1</v>
      </c>
      <c r="K51" s="9" t="s">
        <v>11</v>
      </c>
    </row>
    <row r="52" spans="1:11" s="2" customFormat="1" ht="13.5">
      <c r="A52" s="5" t="str">
        <f>"周姗"</f>
        <v>周姗</v>
      </c>
      <c r="B52" s="5" t="str">
        <f>"6860406025027"</f>
        <v>6860406025027</v>
      </c>
      <c r="C52" s="5" t="str">
        <f>"600140"</f>
        <v>600140</v>
      </c>
      <c r="D52" s="8">
        <v>62</v>
      </c>
      <c r="E52" s="6">
        <f t="shared" si="3"/>
        <v>31</v>
      </c>
      <c r="F52" s="4"/>
      <c r="G52" s="4"/>
      <c r="H52" s="4"/>
      <c r="I52" s="7">
        <v>31</v>
      </c>
      <c r="J52" s="4">
        <v>2</v>
      </c>
      <c r="K52" s="9" t="s">
        <v>11</v>
      </c>
    </row>
    <row r="53" spans="1:11" s="2" customFormat="1" ht="13.5">
      <c r="A53" s="5" t="str">
        <f>"何倩"</f>
        <v>何倩</v>
      </c>
      <c r="B53" s="5" t="str">
        <f>"6860406025028"</f>
        <v>6860406025028</v>
      </c>
      <c r="C53" s="5" t="str">
        <f>"600140"</f>
        <v>600140</v>
      </c>
      <c r="D53" s="8">
        <v>62</v>
      </c>
      <c r="E53" s="6">
        <f t="shared" si="3"/>
        <v>31</v>
      </c>
      <c r="F53" s="4"/>
      <c r="G53" s="4"/>
      <c r="H53" s="4"/>
      <c r="I53" s="7">
        <v>31</v>
      </c>
      <c r="J53" s="4">
        <v>2</v>
      </c>
      <c r="K53" s="9" t="s">
        <v>11</v>
      </c>
    </row>
    <row r="54" spans="1:11" s="2" customFormat="1" ht="13.5">
      <c r="A54" s="5" t="str">
        <f>"刘相平"</f>
        <v>刘相平</v>
      </c>
      <c r="B54" s="5" t="str">
        <f>"6860406025124"</f>
        <v>6860406025124</v>
      </c>
      <c r="C54" s="5" t="str">
        <f>"600141"</f>
        <v>600141</v>
      </c>
      <c r="D54" s="8">
        <v>70</v>
      </c>
      <c r="E54" s="6">
        <f t="shared" si="3"/>
        <v>35</v>
      </c>
      <c r="F54" s="4"/>
      <c r="G54" s="4"/>
      <c r="H54" s="4"/>
      <c r="I54" s="7">
        <v>35</v>
      </c>
      <c r="J54" s="4">
        <v>1</v>
      </c>
      <c r="K54" s="9" t="s">
        <v>11</v>
      </c>
    </row>
    <row r="55" spans="1:11" s="2" customFormat="1" ht="13.5">
      <c r="A55" s="5" t="str">
        <f>"邹晶"</f>
        <v>邹晶</v>
      </c>
      <c r="B55" s="5" t="str">
        <f>"6860406025220"</f>
        <v>6860406025220</v>
      </c>
      <c r="C55" s="5" t="str">
        <f>"600141"</f>
        <v>600141</v>
      </c>
      <c r="D55" s="8">
        <v>65</v>
      </c>
      <c r="E55" s="6">
        <f t="shared" si="3"/>
        <v>32.5</v>
      </c>
      <c r="F55" s="4"/>
      <c r="G55" s="4"/>
      <c r="H55" s="4"/>
      <c r="I55" s="7">
        <v>32.5</v>
      </c>
      <c r="J55" s="4">
        <v>2</v>
      </c>
      <c r="K55" s="9" t="s">
        <v>11</v>
      </c>
    </row>
    <row r="56" spans="1:11" s="2" customFormat="1" ht="13.5">
      <c r="A56" s="5" t="str">
        <f>"罗乔"</f>
        <v>罗乔</v>
      </c>
      <c r="B56" s="5" t="str">
        <f>"6860406025302"</f>
        <v>6860406025302</v>
      </c>
      <c r="C56" s="5" t="str">
        <f>"600141"</f>
        <v>600141</v>
      </c>
      <c r="D56" s="8">
        <v>65</v>
      </c>
      <c r="E56" s="6">
        <f t="shared" si="3"/>
        <v>32.5</v>
      </c>
      <c r="F56" s="4"/>
      <c r="G56" s="4"/>
      <c r="H56" s="4"/>
      <c r="I56" s="7">
        <v>32.5</v>
      </c>
      <c r="J56" s="4">
        <v>2</v>
      </c>
      <c r="K56" s="9" t="s">
        <v>11</v>
      </c>
    </row>
    <row r="57" spans="1:11" s="2" customFormat="1" ht="13.5">
      <c r="A57" s="5" t="str">
        <f>"饶若岩"</f>
        <v>饶若岩</v>
      </c>
      <c r="B57" s="5" t="str">
        <f>"6860406025309"</f>
        <v>6860406025309</v>
      </c>
      <c r="C57" s="5" t="str">
        <f>"600142"</f>
        <v>600142</v>
      </c>
      <c r="D57" s="8">
        <v>58</v>
      </c>
      <c r="E57" s="6">
        <f t="shared" si="3"/>
        <v>31</v>
      </c>
      <c r="F57" s="4"/>
      <c r="G57" s="4"/>
      <c r="H57" s="4">
        <v>4</v>
      </c>
      <c r="I57" s="7">
        <v>31</v>
      </c>
      <c r="J57" s="4">
        <v>1</v>
      </c>
      <c r="K57" s="9" t="s">
        <v>11</v>
      </c>
    </row>
    <row r="58" spans="1:11" s="2" customFormat="1" ht="13.5">
      <c r="A58" s="5" t="str">
        <f>"尹雪"</f>
        <v>尹雪</v>
      </c>
      <c r="B58" s="5" t="str">
        <f>"6860406025312"</f>
        <v>6860406025312</v>
      </c>
      <c r="C58" s="5" t="str">
        <f>"600142"</f>
        <v>600142</v>
      </c>
      <c r="D58" s="8">
        <v>61</v>
      </c>
      <c r="E58" s="6">
        <f t="shared" si="3"/>
        <v>30.5</v>
      </c>
      <c r="F58" s="4"/>
      <c r="G58" s="4"/>
      <c r="H58" s="4"/>
      <c r="I58" s="7">
        <v>30.5</v>
      </c>
      <c r="J58" s="4">
        <v>2</v>
      </c>
      <c r="K58" s="9" t="s">
        <v>11</v>
      </c>
    </row>
    <row r="59" spans="1:11" s="2" customFormat="1" ht="13.5">
      <c r="A59" s="5" t="str">
        <f>"焦瀚萱"</f>
        <v>焦瀚萱</v>
      </c>
      <c r="B59" s="5" t="str">
        <f>"6860406025314"</f>
        <v>6860406025314</v>
      </c>
      <c r="C59" s="5" t="str">
        <f>"600142"</f>
        <v>600142</v>
      </c>
      <c r="D59" s="8">
        <v>61</v>
      </c>
      <c r="E59" s="6">
        <f t="shared" si="3"/>
        <v>30.5</v>
      </c>
      <c r="F59" s="4"/>
      <c r="G59" s="4"/>
      <c r="H59" s="4"/>
      <c r="I59" s="7">
        <v>30.5</v>
      </c>
      <c r="J59" s="4">
        <v>2</v>
      </c>
      <c r="K59" s="9" t="s">
        <v>11</v>
      </c>
    </row>
    <row r="60" spans="1:11" s="2" customFormat="1" ht="13.5">
      <c r="A60" s="5" t="str">
        <f>"王罗岚"</f>
        <v>王罗岚</v>
      </c>
      <c r="B60" s="5" t="str">
        <f>"6860406025404"</f>
        <v>6860406025404</v>
      </c>
      <c r="C60" s="5" t="str">
        <f>"600143"</f>
        <v>600143</v>
      </c>
      <c r="D60" s="8">
        <v>68</v>
      </c>
      <c r="E60" s="6">
        <f t="shared" si="3"/>
        <v>34</v>
      </c>
      <c r="F60" s="4"/>
      <c r="G60" s="4"/>
      <c r="H60" s="4"/>
      <c r="I60" s="7">
        <v>34</v>
      </c>
      <c r="J60" s="4">
        <v>1</v>
      </c>
      <c r="K60" s="9" t="s">
        <v>11</v>
      </c>
    </row>
    <row r="61" spans="1:11" s="2" customFormat="1" ht="13.5">
      <c r="A61" s="5" t="str">
        <f>"简玲"</f>
        <v>简玲</v>
      </c>
      <c r="B61" s="5" t="str">
        <f>"6860406025327"</f>
        <v>6860406025327</v>
      </c>
      <c r="C61" s="5" t="str">
        <f>"600143"</f>
        <v>600143</v>
      </c>
      <c r="D61" s="8">
        <v>65</v>
      </c>
      <c r="E61" s="6">
        <f t="shared" si="3"/>
        <v>32.5</v>
      </c>
      <c r="F61" s="4"/>
      <c r="G61" s="4"/>
      <c r="H61" s="4"/>
      <c r="I61" s="7">
        <v>32.5</v>
      </c>
      <c r="J61" s="4">
        <v>2</v>
      </c>
      <c r="K61" s="9" t="s">
        <v>11</v>
      </c>
    </row>
    <row r="62" spans="1:11" s="2" customFormat="1" ht="13.5">
      <c r="A62" s="5" t="str">
        <f>"徐进"</f>
        <v>徐进</v>
      </c>
      <c r="B62" s="5" t="str">
        <f>"6860406025402"</f>
        <v>6860406025402</v>
      </c>
      <c r="C62" s="5" t="str">
        <f>"600143"</f>
        <v>600143</v>
      </c>
      <c r="D62" s="8">
        <v>63</v>
      </c>
      <c r="E62" s="6">
        <f t="shared" si="3"/>
        <v>31.5</v>
      </c>
      <c r="F62" s="4"/>
      <c r="G62" s="4"/>
      <c r="H62" s="4"/>
      <c r="I62" s="7">
        <v>31.5</v>
      </c>
      <c r="J62" s="4">
        <v>3</v>
      </c>
      <c r="K62" s="9" t="s">
        <v>11</v>
      </c>
    </row>
    <row r="63" spans="1:11" s="2" customFormat="1" ht="13.5">
      <c r="A63" s="5" t="str">
        <f>"肖阳"</f>
        <v>肖阳</v>
      </c>
      <c r="B63" s="5" t="str">
        <f>"6860406025413"</f>
        <v>6860406025413</v>
      </c>
      <c r="C63" s="5" t="str">
        <f>"600144"</f>
        <v>600144</v>
      </c>
      <c r="D63" s="8">
        <v>73</v>
      </c>
      <c r="E63" s="6">
        <f t="shared" si="3"/>
        <v>36.5</v>
      </c>
      <c r="F63" s="4"/>
      <c r="G63" s="4"/>
      <c r="H63" s="4"/>
      <c r="I63" s="7">
        <v>36.5</v>
      </c>
      <c r="J63" s="4">
        <v>1</v>
      </c>
      <c r="K63" s="9" t="s">
        <v>11</v>
      </c>
    </row>
    <row r="64" spans="1:11" s="2" customFormat="1" ht="13.5">
      <c r="A64" s="5" t="str">
        <f>"王陈焰"</f>
        <v>王陈焰</v>
      </c>
      <c r="B64" s="5" t="str">
        <f>"6860406025524"</f>
        <v>6860406025524</v>
      </c>
      <c r="C64" s="5" t="str">
        <f>"600145"</f>
        <v>600145</v>
      </c>
      <c r="D64" s="8">
        <v>78</v>
      </c>
      <c r="E64" s="6">
        <f t="shared" si="3"/>
        <v>39</v>
      </c>
      <c r="F64" s="4"/>
      <c r="G64" s="4"/>
      <c r="H64" s="4"/>
      <c r="I64" s="7">
        <v>39</v>
      </c>
      <c r="J64" s="4">
        <v>1</v>
      </c>
      <c r="K64" s="9" t="s">
        <v>11</v>
      </c>
    </row>
    <row r="65" spans="1:11" s="2" customFormat="1" ht="13.5">
      <c r="A65" s="5" t="str">
        <f>"周新月"</f>
        <v>周新月</v>
      </c>
      <c r="B65" s="5" t="str">
        <f>"6860406025510"</f>
        <v>6860406025510</v>
      </c>
      <c r="C65" s="5" t="str">
        <f>"600145"</f>
        <v>600145</v>
      </c>
      <c r="D65" s="8">
        <v>72</v>
      </c>
      <c r="E65" s="6">
        <f t="shared" si="3"/>
        <v>36</v>
      </c>
      <c r="F65" s="4"/>
      <c r="G65" s="4"/>
      <c r="H65" s="4"/>
      <c r="I65" s="7">
        <v>36</v>
      </c>
      <c r="J65" s="4">
        <v>2</v>
      </c>
      <c r="K65" s="9" t="s">
        <v>11</v>
      </c>
    </row>
    <row r="66" spans="1:11" s="2" customFormat="1" ht="13.5">
      <c r="A66" s="5" t="str">
        <f>"刘军"</f>
        <v>刘军</v>
      </c>
      <c r="B66" s="5" t="str">
        <f>"6860406025504"</f>
        <v>6860406025504</v>
      </c>
      <c r="C66" s="5" t="str">
        <f>"600145"</f>
        <v>600145</v>
      </c>
      <c r="D66" s="8">
        <v>71</v>
      </c>
      <c r="E66" s="6">
        <f t="shared" si="3"/>
        <v>35.5</v>
      </c>
      <c r="F66" s="4"/>
      <c r="G66" s="4"/>
      <c r="H66" s="4"/>
      <c r="I66" s="7">
        <v>35.5</v>
      </c>
      <c r="J66" s="4">
        <v>3</v>
      </c>
      <c r="K66" s="9" t="s">
        <v>11</v>
      </c>
    </row>
    <row r="67" spans="1:11" s="2" customFormat="1" ht="13.5">
      <c r="A67" s="5" t="str">
        <f>"赵小军"</f>
        <v>赵小军</v>
      </c>
      <c r="B67" s="5" t="str">
        <f>"6860406025608"</f>
        <v>6860406025608</v>
      </c>
      <c r="C67" s="5" t="str">
        <f>"600146"</f>
        <v>600146</v>
      </c>
      <c r="D67" s="8">
        <v>75</v>
      </c>
      <c r="E67" s="6">
        <f t="shared" si="3"/>
        <v>37.5</v>
      </c>
      <c r="F67" s="4"/>
      <c r="G67" s="4"/>
      <c r="H67" s="4"/>
      <c r="I67" s="7">
        <v>37.5</v>
      </c>
      <c r="J67" s="4">
        <v>1</v>
      </c>
      <c r="K67" s="9" t="s">
        <v>11</v>
      </c>
    </row>
    <row r="68" spans="1:11" s="2" customFormat="1" ht="13.5">
      <c r="A68" s="5" t="str">
        <f>"赵玲"</f>
        <v>赵玲</v>
      </c>
      <c r="B68" s="5" t="str">
        <f>"6860406025612"</f>
        <v>6860406025612</v>
      </c>
      <c r="C68" s="5" t="str">
        <f>"600147"</f>
        <v>600147</v>
      </c>
      <c r="D68" s="8">
        <v>64</v>
      </c>
      <c r="E68" s="6">
        <f aca="true" t="shared" si="4" ref="E68:E99">(D68+H68)*0.5</f>
        <v>32</v>
      </c>
      <c r="F68" s="4"/>
      <c r="G68" s="4"/>
      <c r="H68" s="4"/>
      <c r="I68" s="7">
        <v>32</v>
      </c>
      <c r="J68" s="4">
        <v>1</v>
      </c>
      <c r="K68" s="9" t="s">
        <v>11</v>
      </c>
    </row>
    <row r="69" spans="1:11" s="2" customFormat="1" ht="13.5">
      <c r="A69" s="5" t="str">
        <f>"王生波"</f>
        <v>王生波</v>
      </c>
      <c r="B69" s="5" t="str">
        <f>"6860406025613"</f>
        <v>6860406025613</v>
      </c>
      <c r="C69" s="5" t="str">
        <f>"600147"</f>
        <v>600147</v>
      </c>
      <c r="D69" s="8">
        <v>64</v>
      </c>
      <c r="E69" s="6">
        <f t="shared" si="4"/>
        <v>32</v>
      </c>
      <c r="F69" s="4"/>
      <c r="G69" s="4"/>
      <c r="H69" s="4"/>
      <c r="I69" s="7">
        <v>32</v>
      </c>
      <c r="J69" s="4">
        <v>1</v>
      </c>
      <c r="K69" s="9" t="s">
        <v>11</v>
      </c>
    </row>
    <row r="70" spans="1:11" s="2" customFormat="1" ht="13.5">
      <c r="A70" s="5" t="str">
        <f>"陈贞汛"</f>
        <v>陈贞汛</v>
      </c>
      <c r="B70" s="5" t="str">
        <f>"6860406025616"</f>
        <v>6860406025616</v>
      </c>
      <c r="C70" s="5" t="str">
        <f>"600147"</f>
        <v>600147</v>
      </c>
      <c r="D70" s="8">
        <v>61</v>
      </c>
      <c r="E70" s="6">
        <f t="shared" si="4"/>
        <v>30.5</v>
      </c>
      <c r="F70" s="4"/>
      <c r="G70" s="4"/>
      <c r="H70" s="4"/>
      <c r="I70" s="7">
        <v>30.5</v>
      </c>
      <c r="J70" s="4">
        <v>3</v>
      </c>
      <c r="K70" s="9" t="s">
        <v>11</v>
      </c>
    </row>
    <row r="71" spans="1:11" s="2" customFormat="1" ht="13.5">
      <c r="A71" s="5" t="str">
        <f>"郑永鸿"</f>
        <v>郑永鸿</v>
      </c>
      <c r="B71" s="5" t="str">
        <f>"6860406025621"</f>
        <v>6860406025621</v>
      </c>
      <c r="C71" s="5" t="str">
        <f>"600148"</f>
        <v>600148</v>
      </c>
      <c r="D71" s="8">
        <v>61</v>
      </c>
      <c r="E71" s="6">
        <f t="shared" si="4"/>
        <v>30.5</v>
      </c>
      <c r="F71" s="4"/>
      <c r="G71" s="4"/>
      <c r="H71" s="4"/>
      <c r="I71" s="7">
        <v>30.5</v>
      </c>
      <c r="J71" s="4">
        <v>1</v>
      </c>
      <c r="K71" s="9" t="s">
        <v>11</v>
      </c>
    </row>
    <row r="72" spans="1:11" s="2" customFormat="1" ht="13.5">
      <c r="A72" s="5" t="str">
        <f>"冯鑫"</f>
        <v>冯鑫</v>
      </c>
      <c r="B72" s="5" t="str">
        <f>"6860406025625"</f>
        <v>6860406025625</v>
      </c>
      <c r="C72" s="5" t="str">
        <f>"600148"</f>
        <v>600148</v>
      </c>
      <c r="D72" s="8">
        <v>60</v>
      </c>
      <c r="E72" s="6">
        <f t="shared" si="4"/>
        <v>30</v>
      </c>
      <c r="F72" s="4"/>
      <c r="G72" s="4"/>
      <c r="H72" s="4"/>
      <c r="I72" s="7">
        <v>30</v>
      </c>
      <c r="J72" s="4">
        <v>2</v>
      </c>
      <c r="K72" s="9" t="s">
        <v>11</v>
      </c>
    </row>
    <row r="73" spans="1:11" s="2" customFormat="1" ht="13.5">
      <c r="A73" s="5" t="str">
        <f>"张瑜"</f>
        <v>张瑜</v>
      </c>
      <c r="B73" s="5" t="str">
        <f>"6860406025619"</f>
        <v>6860406025619</v>
      </c>
      <c r="C73" s="5" t="str">
        <f>"600148"</f>
        <v>600148</v>
      </c>
      <c r="D73" s="8">
        <v>57</v>
      </c>
      <c r="E73" s="6">
        <f t="shared" si="4"/>
        <v>28.5</v>
      </c>
      <c r="F73" s="4"/>
      <c r="G73" s="4"/>
      <c r="H73" s="4"/>
      <c r="I73" s="7">
        <v>28.5</v>
      </c>
      <c r="J73" s="4">
        <v>3</v>
      </c>
      <c r="K73" s="9" t="s">
        <v>11</v>
      </c>
    </row>
    <row r="74" spans="1:11" s="2" customFormat="1" ht="13.5">
      <c r="A74" s="5" t="str">
        <f>"李梦颖"</f>
        <v>李梦颖</v>
      </c>
      <c r="B74" s="5" t="str">
        <f>"6860406025630"</f>
        <v>6860406025630</v>
      </c>
      <c r="C74" s="5" t="str">
        <f>"600149"</f>
        <v>600149</v>
      </c>
      <c r="D74" s="8">
        <v>63</v>
      </c>
      <c r="E74" s="6">
        <f t="shared" si="4"/>
        <v>31.5</v>
      </c>
      <c r="F74" s="4"/>
      <c r="G74" s="4"/>
      <c r="H74" s="4"/>
      <c r="I74" s="7">
        <v>31.5</v>
      </c>
      <c r="J74" s="4">
        <v>3</v>
      </c>
      <c r="K74" s="9" t="s">
        <v>11</v>
      </c>
    </row>
    <row r="75" spans="1:11" s="2" customFormat="1" ht="13.5">
      <c r="A75" s="5" t="str">
        <f>"徐杰"</f>
        <v>徐杰</v>
      </c>
      <c r="B75" s="5" t="str">
        <f>"6860406025724"</f>
        <v>6860406025724</v>
      </c>
      <c r="C75" s="5" t="str">
        <f>"600150"</f>
        <v>600150</v>
      </c>
      <c r="D75" s="8">
        <v>79</v>
      </c>
      <c r="E75" s="6">
        <f t="shared" si="4"/>
        <v>39.5</v>
      </c>
      <c r="F75" s="4"/>
      <c r="G75" s="4"/>
      <c r="H75" s="4"/>
      <c r="I75" s="7">
        <v>39.5</v>
      </c>
      <c r="J75" s="4">
        <v>1</v>
      </c>
      <c r="K75" s="9" t="s">
        <v>11</v>
      </c>
    </row>
    <row r="76" spans="1:11" s="2" customFormat="1" ht="13.5">
      <c r="A76" s="5" t="str">
        <f>"余昌杭"</f>
        <v>余昌杭</v>
      </c>
      <c r="B76" s="5" t="str">
        <f>"6860406025726"</f>
        <v>6860406025726</v>
      </c>
      <c r="C76" s="5" t="str">
        <f>"600150"</f>
        <v>600150</v>
      </c>
      <c r="D76" s="8">
        <v>67</v>
      </c>
      <c r="E76" s="6">
        <f t="shared" si="4"/>
        <v>33.5</v>
      </c>
      <c r="F76" s="4"/>
      <c r="G76" s="4"/>
      <c r="H76" s="4"/>
      <c r="I76" s="7">
        <v>33.5</v>
      </c>
      <c r="J76" s="4">
        <v>2</v>
      </c>
      <c r="K76" s="9" t="s">
        <v>11</v>
      </c>
    </row>
    <row r="77" spans="1:11" s="2" customFormat="1" ht="13.5">
      <c r="A77" s="5" t="str">
        <f>"王斌"</f>
        <v>王斌</v>
      </c>
      <c r="B77" s="5" t="str">
        <f>"6860406025717"</f>
        <v>6860406025717</v>
      </c>
      <c r="C77" s="5" t="str">
        <f>"600150"</f>
        <v>600150</v>
      </c>
      <c r="D77" s="8">
        <v>64</v>
      </c>
      <c r="E77" s="6">
        <f t="shared" si="4"/>
        <v>32</v>
      </c>
      <c r="F77" s="4"/>
      <c r="G77" s="4"/>
      <c r="H77" s="4"/>
      <c r="I77" s="7">
        <v>32</v>
      </c>
      <c r="J77" s="4">
        <v>3</v>
      </c>
      <c r="K77" s="9" t="s">
        <v>11</v>
      </c>
    </row>
    <row r="78" spans="1:11" s="2" customFormat="1" ht="13.5">
      <c r="A78" s="5" t="str">
        <f>"彭财军"</f>
        <v>彭财军</v>
      </c>
      <c r="B78" s="5" t="str">
        <f>"6860406025805"</f>
        <v>6860406025805</v>
      </c>
      <c r="C78" s="5" t="str">
        <f>"600151"</f>
        <v>600151</v>
      </c>
      <c r="D78" s="8">
        <v>64</v>
      </c>
      <c r="E78" s="6">
        <f t="shared" si="4"/>
        <v>35</v>
      </c>
      <c r="F78" s="4"/>
      <c r="G78" s="4"/>
      <c r="H78" s="4">
        <v>6</v>
      </c>
      <c r="I78" s="7">
        <v>35</v>
      </c>
      <c r="J78" s="4">
        <v>1</v>
      </c>
      <c r="K78" s="9" t="s">
        <v>11</v>
      </c>
    </row>
    <row r="79" spans="1:11" s="2" customFormat="1" ht="13.5">
      <c r="A79" s="5" t="str">
        <f>"兰朝忠"</f>
        <v>兰朝忠</v>
      </c>
      <c r="B79" s="5" t="str">
        <f>"6860406025729"</f>
        <v>6860406025729</v>
      </c>
      <c r="C79" s="5" t="str">
        <f>"600151"</f>
        <v>600151</v>
      </c>
      <c r="D79" s="8">
        <v>67</v>
      </c>
      <c r="E79" s="6">
        <f t="shared" si="4"/>
        <v>33.5</v>
      </c>
      <c r="F79" s="4"/>
      <c r="G79" s="4"/>
      <c r="H79" s="4"/>
      <c r="I79" s="7">
        <v>33.5</v>
      </c>
      <c r="J79" s="4">
        <v>2</v>
      </c>
      <c r="K79" s="9" t="s">
        <v>11</v>
      </c>
    </row>
    <row r="80" spans="1:11" s="2" customFormat="1" ht="13.5">
      <c r="A80" s="5" t="str">
        <f>"陈铜"</f>
        <v>陈铜</v>
      </c>
      <c r="B80" s="5" t="str">
        <f>"6860406025802"</f>
        <v>6860406025802</v>
      </c>
      <c r="C80" s="5" t="str">
        <f>"600151"</f>
        <v>600151</v>
      </c>
      <c r="D80" s="8">
        <v>67</v>
      </c>
      <c r="E80" s="6">
        <f t="shared" si="4"/>
        <v>33.5</v>
      </c>
      <c r="F80" s="4"/>
      <c r="G80" s="4"/>
      <c r="H80" s="4"/>
      <c r="I80" s="7">
        <v>33.5</v>
      </c>
      <c r="J80" s="4">
        <v>2</v>
      </c>
      <c r="K80" s="9" t="s">
        <v>11</v>
      </c>
    </row>
    <row r="81" spans="1:11" s="2" customFormat="1" ht="13.5">
      <c r="A81" s="5" t="str">
        <f>"胡小松"</f>
        <v>胡小松</v>
      </c>
      <c r="B81" s="5" t="str">
        <f>"6860406026008"</f>
        <v>6860406026008</v>
      </c>
      <c r="C81" s="5" t="str">
        <f aca="true" t="shared" si="5" ref="C81:C115">"600153"</f>
        <v>600153</v>
      </c>
      <c r="D81" s="8">
        <v>73</v>
      </c>
      <c r="E81" s="6">
        <f t="shared" si="4"/>
        <v>36.5</v>
      </c>
      <c r="F81" s="4"/>
      <c r="G81" s="4"/>
      <c r="H81" s="4"/>
      <c r="I81" s="7">
        <v>36.5</v>
      </c>
      <c r="J81" s="4">
        <v>1</v>
      </c>
      <c r="K81" s="9" t="s">
        <v>11</v>
      </c>
    </row>
    <row r="82" spans="1:11" s="2" customFormat="1" ht="13.5">
      <c r="A82" s="5" t="str">
        <f>"黄尤信"</f>
        <v>黄尤信</v>
      </c>
      <c r="B82" s="5" t="str">
        <f>"6860406025911"</f>
        <v>6860406025911</v>
      </c>
      <c r="C82" s="5" t="str">
        <f t="shared" si="5"/>
        <v>600153</v>
      </c>
      <c r="D82" s="8">
        <v>71</v>
      </c>
      <c r="E82" s="6">
        <f t="shared" si="4"/>
        <v>35.5</v>
      </c>
      <c r="F82" s="4"/>
      <c r="G82" s="4"/>
      <c r="H82" s="4"/>
      <c r="I82" s="7">
        <v>35.5</v>
      </c>
      <c r="J82" s="4">
        <v>2</v>
      </c>
      <c r="K82" s="9" t="s">
        <v>11</v>
      </c>
    </row>
    <row r="83" spans="1:11" s="2" customFormat="1" ht="13.5">
      <c r="A83" s="5" t="str">
        <f>"张家豪"</f>
        <v>张家豪</v>
      </c>
      <c r="B83" s="5" t="str">
        <f>"6860406026019"</f>
        <v>6860406026019</v>
      </c>
      <c r="C83" s="5" t="str">
        <f t="shared" si="5"/>
        <v>600153</v>
      </c>
      <c r="D83" s="8">
        <v>69</v>
      </c>
      <c r="E83" s="6">
        <f t="shared" si="4"/>
        <v>34.5</v>
      </c>
      <c r="F83" s="4"/>
      <c r="G83" s="4"/>
      <c r="H83" s="4"/>
      <c r="I83" s="7">
        <v>34.5</v>
      </c>
      <c r="J83" s="4">
        <v>3</v>
      </c>
      <c r="K83" s="9" t="s">
        <v>11</v>
      </c>
    </row>
    <row r="84" spans="1:11" s="2" customFormat="1" ht="13.5">
      <c r="A84" s="5" t="str">
        <f>"胡莉娅"</f>
        <v>胡莉娅</v>
      </c>
      <c r="B84" s="5" t="str">
        <f>"6860406026026"</f>
        <v>6860406026026</v>
      </c>
      <c r="C84" s="5" t="str">
        <f t="shared" si="5"/>
        <v>600153</v>
      </c>
      <c r="D84" s="8">
        <v>69</v>
      </c>
      <c r="E84" s="6">
        <f t="shared" si="4"/>
        <v>34.5</v>
      </c>
      <c r="F84" s="4"/>
      <c r="G84" s="4"/>
      <c r="H84" s="4"/>
      <c r="I84" s="7">
        <v>34.5</v>
      </c>
      <c r="J84" s="4">
        <v>3</v>
      </c>
      <c r="K84" s="9" t="s">
        <v>11</v>
      </c>
    </row>
    <row r="85" spans="1:11" s="2" customFormat="1" ht="13.5">
      <c r="A85" s="5" t="str">
        <f>"黄婷"</f>
        <v>黄婷</v>
      </c>
      <c r="B85" s="5" t="str">
        <f>"6860406026007"</f>
        <v>6860406026007</v>
      </c>
      <c r="C85" s="5" t="str">
        <f t="shared" si="5"/>
        <v>600153</v>
      </c>
      <c r="D85" s="8">
        <v>68</v>
      </c>
      <c r="E85" s="6">
        <f t="shared" si="4"/>
        <v>34</v>
      </c>
      <c r="F85" s="4"/>
      <c r="G85" s="4"/>
      <c r="H85" s="4"/>
      <c r="I85" s="7">
        <v>34</v>
      </c>
      <c r="J85" s="4">
        <v>5</v>
      </c>
      <c r="K85" s="9" t="s">
        <v>11</v>
      </c>
    </row>
    <row r="86" spans="1:11" s="2" customFormat="1" ht="13.5">
      <c r="A86" s="5" t="str">
        <f>"刘雅利"</f>
        <v>刘雅利</v>
      </c>
      <c r="B86" s="5" t="str">
        <f>"6860406025921"</f>
        <v>6860406025921</v>
      </c>
      <c r="C86" s="5" t="str">
        <f t="shared" si="5"/>
        <v>600153</v>
      </c>
      <c r="D86" s="8">
        <v>67</v>
      </c>
      <c r="E86" s="6">
        <f t="shared" si="4"/>
        <v>33.5</v>
      </c>
      <c r="F86" s="4"/>
      <c r="G86" s="4"/>
      <c r="H86" s="4"/>
      <c r="I86" s="7">
        <v>33.5</v>
      </c>
      <c r="J86" s="4">
        <v>6</v>
      </c>
      <c r="K86" s="9" t="s">
        <v>11</v>
      </c>
    </row>
    <row r="87" spans="1:11" s="2" customFormat="1" ht="13.5">
      <c r="A87" s="5" t="str">
        <f>"仇小龙"</f>
        <v>仇小龙</v>
      </c>
      <c r="B87" s="5" t="str">
        <f>"6860406025915"</f>
        <v>6860406025915</v>
      </c>
      <c r="C87" s="5" t="str">
        <f t="shared" si="5"/>
        <v>600153</v>
      </c>
      <c r="D87" s="8">
        <v>66</v>
      </c>
      <c r="E87" s="6">
        <f t="shared" si="4"/>
        <v>33</v>
      </c>
      <c r="F87" s="4"/>
      <c r="G87" s="4"/>
      <c r="H87" s="4"/>
      <c r="I87" s="7">
        <v>33</v>
      </c>
      <c r="J87" s="4">
        <v>7</v>
      </c>
      <c r="K87" s="9" t="s">
        <v>11</v>
      </c>
    </row>
    <row r="88" spans="1:11" s="2" customFormat="1" ht="13.5">
      <c r="A88" s="5" t="str">
        <f>"刘莹"</f>
        <v>刘莹</v>
      </c>
      <c r="B88" s="5" t="str">
        <f>"6860406025924"</f>
        <v>6860406025924</v>
      </c>
      <c r="C88" s="5" t="str">
        <f t="shared" si="5"/>
        <v>600153</v>
      </c>
      <c r="D88" s="8">
        <v>66</v>
      </c>
      <c r="E88" s="6">
        <f t="shared" si="4"/>
        <v>33</v>
      </c>
      <c r="F88" s="4"/>
      <c r="G88" s="4"/>
      <c r="H88" s="4"/>
      <c r="I88" s="7">
        <v>33</v>
      </c>
      <c r="J88" s="4">
        <v>7</v>
      </c>
      <c r="K88" s="9" t="s">
        <v>11</v>
      </c>
    </row>
    <row r="89" spans="1:11" s="2" customFormat="1" ht="13.5">
      <c r="A89" s="5" t="str">
        <f>"王海鸣"</f>
        <v>王海鸣</v>
      </c>
      <c r="B89" s="5" t="str">
        <f>"6860406025912"</f>
        <v>6860406025912</v>
      </c>
      <c r="C89" s="5" t="str">
        <f t="shared" si="5"/>
        <v>600153</v>
      </c>
      <c r="D89" s="8">
        <v>64</v>
      </c>
      <c r="E89" s="6">
        <f t="shared" si="4"/>
        <v>32</v>
      </c>
      <c r="F89" s="4"/>
      <c r="G89" s="4"/>
      <c r="H89" s="4"/>
      <c r="I89" s="7">
        <v>32</v>
      </c>
      <c r="J89" s="4">
        <v>9</v>
      </c>
      <c r="K89" s="9" t="s">
        <v>11</v>
      </c>
    </row>
    <row r="90" spans="1:11" s="2" customFormat="1" ht="13.5">
      <c r="A90" s="5" t="str">
        <f>"苟铭徽"</f>
        <v>苟铭徽</v>
      </c>
      <c r="B90" s="5" t="str">
        <f>"6860406026022"</f>
        <v>6860406026022</v>
      </c>
      <c r="C90" s="5" t="str">
        <f t="shared" si="5"/>
        <v>600153</v>
      </c>
      <c r="D90" s="8">
        <v>64</v>
      </c>
      <c r="E90" s="6">
        <f t="shared" si="4"/>
        <v>32</v>
      </c>
      <c r="F90" s="4"/>
      <c r="G90" s="4"/>
      <c r="H90" s="4"/>
      <c r="I90" s="7">
        <v>32</v>
      </c>
      <c r="J90" s="4">
        <v>9</v>
      </c>
      <c r="K90" s="9" t="s">
        <v>11</v>
      </c>
    </row>
    <row r="91" spans="1:11" s="2" customFormat="1" ht="13.5">
      <c r="A91" s="5" t="str">
        <f>"蒲建臣"</f>
        <v>蒲建臣</v>
      </c>
      <c r="B91" s="5" t="str">
        <f>"6860406026112"</f>
        <v>6860406026112</v>
      </c>
      <c r="C91" s="5" t="str">
        <f t="shared" si="5"/>
        <v>600153</v>
      </c>
      <c r="D91" s="8">
        <v>64</v>
      </c>
      <c r="E91" s="6">
        <f t="shared" si="4"/>
        <v>32</v>
      </c>
      <c r="F91" s="4"/>
      <c r="G91" s="4"/>
      <c r="H91" s="4"/>
      <c r="I91" s="7">
        <v>32</v>
      </c>
      <c r="J91" s="4">
        <v>9</v>
      </c>
      <c r="K91" s="9" t="s">
        <v>11</v>
      </c>
    </row>
    <row r="92" spans="1:11" s="2" customFormat="1" ht="13.5">
      <c r="A92" s="5" t="str">
        <f>"尓布子"</f>
        <v>尓布子</v>
      </c>
      <c r="B92" s="5" t="str">
        <f>"6860406025910"</f>
        <v>6860406025910</v>
      </c>
      <c r="C92" s="5" t="str">
        <f t="shared" si="5"/>
        <v>600153</v>
      </c>
      <c r="D92" s="8">
        <v>63</v>
      </c>
      <c r="E92" s="6">
        <f t="shared" si="4"/>
        <v>31.5</v>
      </c>
      <c r="F92" s="4"/>
      <c r="G92" s="4"/>
      <c r="H92" s="4"/>
      <c r="I92" s="7">
        <v>31.5</v>
      </c>
      <c r="J92" s="4">
        <v>12</v>
      </c>
      <c r="K92" s="9" t="s">
        <v>11</v>
      </c>
    </row>
    <row r="93" spans="1:11" s="2" customFormat="1" ht="13.5">
      <c r="A93" s="5" t="str">
        <f>"杨佳茗"</f>
        <v>杨佳茗</v>
      </c>
      <c r="B93" s="5" t="str">
        <f>"6860406025925"</f>
        <v>6860406025925</v>
      </c>
      <c r="C93" s="5" t="str">
        <f t="shared" si="5"/>
        <v>600153</v>
      </c>
      <c r="D93" s="8">
        <v>63</v>
      </c>
      <c r="E93" s="6">
        <f t="shared" si="4"/>
        <v>31.5</v>
      </c>
      <c r="F93" s="4"/>
      <c r="G93" s="4"/>
      <c r="H93" s="4"/>
      <c r="I93" s="7">
        <v>31.5</v>
      </c>
      <c r="J93" s="4">
        <v>12</v>
      </c>
      <c r="K93" s="9" t="s">
        <v>11</v>
      </c>
    </row>
    <row r="94" spans="1:11" s="2" customFormat="1" ht="13.5">
      <c r="A94" s="5" t="str">
        <f>"冯雪敏"</f>
        <v>冯雪敏</v>
      </c>
      <c r="B94" s="5" t="str">
        <f>"6860406025926"</f>
        <v>6860406025926</v>
      </c>
      <c r="C94" s="5" t="str">
        <f t="shared" si="5"/>
        <v>600153</v>
      </c>
      <c r="D94" s="8">
        <v>63</v>
      </c>
      <c r="E94" s="6">
        <f t="shared" si="4"/>
        <v>31.5</v>
      </c>
      <c r="F94" s="4"/>
      <c r="G94" s="4"/>
      <c r="H94" s="4"/>
      <c r="I94" s="7">
        <v>31.5</v>
      </c>
      <c r="J94" s="4">
        <v>12</v>
      </c>
      <c r="K94" s="9" t="s">
        <v>11</v>
      </c>
    </row>
    <row r="95" spans="1:11" s="2" customFormat="1" ht="13.5">
      <c r="A95" s="5" t="str">
        <f>"廖勤"</f>
        <v>廖勤</v>
      </c>
      <c r="B95" s="5" t="str">
        <f>"6860406025909"</f>
        <v>6860406025909</v>
      </c>
      <c r="C95" s="5" t="str">
        <f t="shared" si="5"/>
        <v>600153</v>
      </c>
      <c r="D95" s="8">
        <v>62</v>
      </c>
      <c r="E95" s="6">
        <f t="shared" si="4"/>
        <v>31</v>
      </c>
      <c r="F95" s="4"/>
      <c r="G95" s="4"/>
      <c r="H95" s="4"/>
      <c r="I95" s="7">
        <v>31</v>
      </c>
      <c r="J95" s="4">
        <v>15</v>
      </c>
      <c r="K95" s="9" t="s">
        <v>11</v>
      </c>
    </row>
    <row r="96" spans="1:11" s="2" customFormat="1" ht="13.5">
      <c r="A96" s="5" t="str">
        <f>"唐椿林"</f>
        <v>唐椿林</v>
      </c>
      <c r="B96" s="5" t="str">
        <f>"6860406025923"</f>
        <v>6860406025923</v>
      </c>
      <c r="C96" s="5" t="str">
        <f t="shared" si="5"/>
        <v>600153</v>
      </c>
      <c r="D96" s="8">
        <v>62</v>
      </c>
      <c r="E96" s="6">
        <f t="shared" si="4"/>
        <v>31</v>
      </c>
      <c r="F96" s="4"/>
      <c r="G96" s="4"/>
      <c r="H96" s="4"/>
      <c r="I96" s="7">
        <v>31</v>
      </c>
      <c r="J96" s="4">
        <v>15</v>
      </c>
      <c r="K96" s="9" t="s">
        <v>11</v>
      </c>
    </row>
    <row r="97" spans="1:11" s="2" customFormat="1" ht="13.5">
      <c r="A97" s="5" t="str">
        <f>"王建明"</f>
        <v>王建明</v>
      </c>
      <c r="B97" s="5" t="str">
        <f>"6860406026114"</f>
        <v>6860406026114</v>
      </c>
      <c r="C97" s="5" t="str">
        <f t="shared" si="5"/>
        <v>600153</v>
      </c>
      <c r="D97" s="8">
        <v>62</v>
      </c>
      <c r="E97" s="6">
        <f t="shared" si="4"/>
        <v>31</v>
      </c>
      <c r="F97" s="4"/>
      <c r="G97" s="4"/>
      <c r="H97" s="4"/>
      <c r="I97" s="7">
        <v>31</v>
      </c>
      <c r="J97" s="4">
        <v>15</v>
      </c>
      <c r="K97" s="9" t="s">
        <v>11</v>
      </c>
    </row>
    <row r="98" spans="1:11" s="2" customFormat="1" ht="13.5">
      <c r="A98" s="5" t="str">
        <f>"涂林志"</f>
        <v>涂林志</v>
      </c>
      <c r="B98" s="5" t="str">
        <f>"6860406025922"</f>
        <v>6860406025922</v>
      </c>
      <c r="C98" s="5" t="str">
        <f t="shared" si="5"/>
        <v>600153</v>
      </c>
      <c r="D98" s="8">
        <v>61</v>
      </c>
      <c r="E98" s="6">
        <f t="shared" si="4"/>
        <v>30.5</v>
      </c>
      <c r="F98" s="4"/>
      <c r="G98" s="4"/>
      <c r="H98" s="4"/>
      <c r="I98" s="7">
        <v>30.5</v>
      </c>
      <c r="J98" s="4">
        <v>20</v>
      </c>
      <c r="K98" s="9" t="s">
        <v>11</v>
      </c>
    </row>
    <row r="99" spans="1:11" s="2" customFormat="1" ht="13.5">
      <c r="A99" s="5" t="str">
        <f>"尹婕"</f>
        <v>尹婕</v>
      </c>
      <c r="B99" s="5" t="str">
        <f>"6860406026009"</f>
        <v>6860406026009</v>
      </c>
      <c r="C99" s="5" t="str">
        <f t="shared" si="5"/>
        <v>600153</v>
      </c>
      <c r="D99" s="8">
        <v>61</v>
      </c>
      <c r="E99" s="6">
        <f t="shared" si="4"/>
        <v>30.5</v>
      </c>
      <c r="F99" s="4"/>
      <c r="G99" s="4"/>
      <c r="H99" s="4"/>
      <c r="I99" s="7">
        <v>30.5</v>
      </c>
      <c r="J99" s="4">
        <v>20</v>
      </c>
      <c r="K99" s="9" t="s">
        <v>11</v>
      </c>
    </row>
    <row r="100" spans="1:11" s="2" customFormat="1" ht="13.5">
      <c r="A100" s="5" t="str">
        <f>"鲁旺"</f>
        <v>鲁旺</v>
      </c>
      <c r="B100" s="5" t="str">
        <f>"6860406026107"</f>
        <v>6860406026107</v>
      </c>
      <c r="C100" s="5" t="str">
        <f t="shared" si="5"/>
        <v>600153</v>
      </c>
      <c r="D100" s="8">
        <v>61</v>
      </c>
      <c r="E100" s="6">
        <f aca="true" t="shared" si="6" ref="E100:E131">(D100+H100)*0.5</f>
        <v>30.5</v>
      </c>
      <c r="F100" s="4"/>
      <c r="G100" s="4"/>
      <c r="H100" s="4"/>
      <c r="I100" s="7">
        <v>30.5</v>
      </c>
      <c r="J100" s="4">
        <v>20</v>
      </c>
      <c r="K100" s="9" t="s">
        <v>11</v>
      </c>
    </row>
    <row r="101" spans="1:11" s="2" customFormat="1" ht="13.5">
      <c r="A101" s="5" t="str">
        <f>"张倩"</f>
        <v>张倩</v>
      </c>
      <c r="B101" s="5" t="str">
        <f>"6860406026121"</f>
        <v>6860406026121</v>
      </c>
      <c r="C101" s="5" t="str">
        <f t="shared" si="5"/>
        <v>600153</v>
      </c>
      <c r="D101" s="8">
        <v>61</v>
      </c>
      <c r="E101" s="6">
        <f t="shared" si="6"/>
        <v>30.5</v>
      </c>
      <c r="F101" s="4"/>
      <c r="G101" s="4"/>
      <c r="H101" s="4"/>
      <c r="I101" s="7">
        <v>30.5</v>
      </c>
      <c r="J101" s="4">
        <v>20</v>
      </c>
      <c r="K101" s="9" t="s">
        <v>11</v>
      </c>
    </row>
    <row r="102" spans="1:11" s="2" customFormat="1" ht="13.5">
      <c r="A102" s="5" t="str">
        <f>"冷航"</f>
        <v>冷航</v>
      </c>
      <c r="B102" s="5" t="str">
        <f>"6860406025908"</f>
        <v>6860406025908</v>
      </c>
      <c r="C102" s="5" t="str">
        <f t="shared" si="5"/>
        <v>600153</v>
      </c>
      <c r="D102" s="8">
        <v>60</v>
      </c>
      <c r="E102" s="6">
        <f t="shared" si="6"/>
        <v>30</v>
      </c>
      <c r="F102" s="4"/>
      <c r="G102" s="4"/>
      <c r="H102" s="4"/>
      <c r="I102" s="7">
        <v>30</v>
      </c>
      <c r="J102" s="4">
        <v>24</v>
      </c>
      <c r="K102" s="9" t="s">
        <v>11</v>
      </c>
    </row>
    <row r="103" spans="1:11" s="2" customFormat="1" ht="13.5">
      <c r="A103" s="5" t="str">
        <f>"唐明星"</f>
        <v>唐明星</v>
      </c>
      <c r="B103" s="5" t="str">
        <f>"6860406026001"</f>
        <v>6860406026001</v>
      </c>
      <c r="C103" s="5" t="str">
        <f t="shared" si="5"/>
        <v>600153</v>
      </c>
      <c r="D103" s="8">
        <v>60</v>
      </c>
      <c r="E103" s="6">
        <f t="shared" si="6"/>
        <v>30</v>
      </c>
      <c r="F103" s="4"/>
      <c r="G103" s="4"/>
      <c r="H103" s="4"/>
      <c r="I103" s="7">
        <v>30</v>
      </c>
      <c r="J103" s="4">
        <v>24</v>
      </c>
      <c r="K103" s="9" t="s">
        <v>11</v>
      </c>
    </row>
    <row r="104" spans="1:11" s="2" customFormat="1" ht="13.5">
      <c r="A104" s="5" t="str">
        <f>"罗新"</f>
        <v>罗新</v>
      </c>
      <c r="B104" s="5" t="str">
        <f>"6860406026013"</f>
        <v>6860406026013</v>
      </c>
      <c r="C104" s="5" t="str">
        <f t="shared" si="5"/>
        <v>600153</v>
      </c>
      <c r="D104" s="8">
        <v>60</v>
      </c>
      <c r="E104" s="6">
        <f t="shared" si="6"/>
        <v>30</v>
      </c>
      <c r="F104" s="4"/>
      <c r="G104" s="4"/>
      <c r="H104" s="4"/>
      <c r="I104" s="7">
        <v>30</v>
      </c>
      <c r="J104" s="4">
        <v>24</v>
      </c>
      <c r="K104" s="9" t="s">
        <v>11</v>
      </c>
    </row>
    <row r="105" spans="1:11" s="2" customFormat="1" ht="13.5">
      <c r="A105" s="5" t="str">
        <f>"徐东辉"</f>
        <v>徐东辉</v>
      </c>
      <c r="B105" s="5" t="str">
        <f>"6860406026015"</f>
        <v>6860406026015</v>
      </c>
      <c r="C105" s="5" t="str">
        <f t="shared" si="5"/>
        <v>600153</v>
      </c>
      <c r="D105" s="8">
        <v>60</v>
      </c>
      <c r="E105" s="6">
        <f t="shared" si="6"/>
        <v>30</v>
      </c>
      <c r="F105" s="4"/>
      <c r="G105" s="4"/>
      <c r="H105" s="4"/>
      <c r="I105" s="7">
        <v>30</v>
      </c>
      <c r="J105" s="4">
        <v>24</v>
      </c>
      <c r="K105" s="9" t="s">
        <v>11</v>
      </c>
    </row>
    <row r="106" spans="1:11" s="2" customFormat="1" ht="13.5">
      <c r="A106" s="5" t="str">
        <f>"窦利华"</f>
        <v>窦利华</v>
      </c>
      <c r="B106" s="5" t="str">
        <f>"6860406025930"</f>
        <v>6860406025930</v>
      </c>
      <c r="C106" s="5" t="str">
        <f t="shared" si="5"/>
        <v>600153</v>
      </c>
      <c r="D106" s="8">
        <v>58</v>
      </c>
      <c r="E106" s="6">
        <f t="shared" si="6"/>
        <v>29</v>
      </c>
      <c r="F106" s="4"/>
      <c r="G106" s="4"/>
      <c r="H106" s="4"/>
      <c r="I106" s="7">
        <v>29</v>
      </c>
      <c r="J106" s="4">
        <v>30</v>
      </c>
      <c r="K106" s="9" t="s">
        <v>11</v>
      </c>
    </row>
    <row r="107" spans="1:11" s="2" customFormat="1" ht="13.5">
      <c r="A107" s="5" t="str">
        <f>"陈柯行"</f>
        <v>陈柯行</v>
      </c>
      <c r="B107" s="5" t="str">
        <f>"6860406026105"</f>
        <v>6860406026105</v>
      </c>
      <c r="C107" s="5" t="str">
        <f t="shared" si="5"/>
        <v>600153</v>
      </c>
      <c r="D107" s="8">
        <v>58</v>
      </c>
      <c r="E107" s="6">
        <f t="shared" si="6"/>
        <v>29</v>
      </c>
      <c r="F107" s="4"/>
      <c r="G107" s="4"/>
      <c r="H107" s="4"/>
      <c r="I107" s="7">
        <v>29</v>
      </c>
      <c r="J107" s="4">
        <v>30</v>
      </c>
      <c r="K107" s="9" t="s">
        <v>11</v>
      </c>
    </row>
    <row r="108" spans="1:11" s="2" customFormat="1" ht="13.5">
      <c r="A108" s="5" t="str">
        <f>"李小佳"</f>
        <v>李小佳</v>
      </c>
      <c r="B108" s="5" t="str">
        <f>"6860406025916"</f>
        <v>6860406025916</v>
      </c>
      <c r="C108" s="5" t="str">
        <f t="shared" si="5"/>
        <v>600153</v>
      </c>
      <c r="D108" s="8">
        <v>57</v>
      </c>
      <c r="E108" s="6">
        <f t="shared" si="6"/>
        <v>28.5</v>
      </c>
      <c r="F108" s="4"/>
      <c r="G108" s="4"/>
      <c r="H108" s="4"/>
      <c r="I108" s="7">
        <v>28.5</v>
      </c>
      <c r="J108" s="4">
        <v>32</v>
      </c>
      <c r="K108" s="9" t="s">
        <v>11</v>
      </c>
    </row>
    <row r="109" spans="1:11" s="2" customFormat="1" ht="13.5">
      <c r="A109" s="5" t="str">
        <f>"胡聪"</f>
        <v>胡聪</v>
      </c>
      <c r="B109" s="5" t="str">
        <f>"6860406026016"</f>
        <v>6860406026016</v>
      </c>
      <c r="C109" s="5" t="str">
        <f t="shared" si="5"/>
        <v>600153</v>
      </c>
      <c r="D109" s="8">
        <v>57</v>
      </c>
      <c r="E109" s="6">
        <f t="shared" si="6"/>
        <v>28.5</v>
      </c>
      <c r="F109" s="4"/>
      <c r="G109" s="4"/>
      <c r="H109" s="4"/>
      <c r="I109" s="7">
        <v>28.5</v>
      </c>
      <c r="J109" s="4">
        <v>32</v>
      </c>
      <c r="K109" s="9" t="s">
        <v>11</v>
      </c>
    </row>
    <row r="110" spans="1:11" s="2" customFormat="1" ht="13.5">
      <c r="A110" s="5" t="str">
        <f>"胡海涛"</f>
        <v>胡海涛</v>
      </c>
      <c r="B110" s="5" t="str">
        <f>"6860406025913"</f>
        <v>6860406025913</v>
      </c>
      <c r="C110" s="5" t="str">
        <f t="shared" si="5"/>
        <v>600153</v>
      </c>
      <c r="D110" s="8">
        <v>56</v>
      </c>
      <c r="E110" s="6">
        <f t="shared" si="6"/>
        <v>28</v>
      </c>
      <c r="F110" s="4"/>
      <c r="G110" s="4"/>
      <c r="H110" s="4"/>
      <c r="I110" s="7">
        <v>28</v>
      </c>
      <c r="J110" s="4">
        <v>36</v>
      </c>
      <c r="K110" s="9" t="s">
        <v>11</v>
      </c>
    </row>
    <row r="111" spans="1:11" s="2" customFormat="1" ht="13.5">
      <c r="A111" s="5" t="str">
        <f>"苟婷婷"</f>
        <v>苟婷婷</v>
      </c>
      <c r="B111" s="5" t="str">
        <f>"6860406025920"</f>
        <v>6860406025920</v>
      </c>
      <c r="C111" s="5" t="str">
        <f t="shared" si="5"/>
        <v>600153</v>
      </c>
      <c r="D111" s="8">
        <v>56</v>
      </c>
      <c r="E111" s="6">
        <f t="shared" si="6"/>
        <v>28</v>
      </c>
      <c r="F111" s="4"/>
      <c r="G111" s="4"/>
      <c r="H111" s="4"/>
      <c r="I111" s="7">
        <v>28</v>
      </c>
      <c r="J111" s="4">
        <v>36</v>
      </c>
      <c r="K111" s="9" t="s">
        <v>11</v>
      </c>
    </row>
    <row r="112" spans="1:11" s="2" customFormat="1" ht="13.5">
      <c r="A112" s="5" t="str">
        <f>"黄一航"</f>
        <v>黄一航</v>
      </c>
      <c r="B112" s="5" t="str">
        <f>"6860406026002"</f>
        <v>6860406026002</v>
      </c>
      <c r="C112" s="5" t="str">
        <f t="shared" si="5"/>
        <v>600153</v>
      </c>
      <c r="D112" s="8">
        <v>56</v>
      </c>
      <c r="E112" s="6">
        <f t="shared" si="6"/>
        <v>28</v>
      </c>
      <c r="F112" s="4"/>
      <c r="G112" s="4"/>
      <c r="H112" s="4"/>
      <c r="I112" s="7">
        <v>28</v>
      </c>
      <c r="J112" s="4">
        <v>36</v>
      </c>
      <c r="K112" s="9" t="s">
        <v>11</v>
      </c>
    </row>
    <row r="113" spans="1:11" s="2" customFormat="1" ht="13.5">
      <c r="A113" s="5" t="str">
        <f>"陈皓"</f>
        <v>陈皓</v>
      </c>
      <c r="B113" s="5" t="str">
        <f>"6860406025914"</f>
        <v>6860406025914</v>
      </c>
      <c r="C113" s="5" t="str">
        <f t="shared" si="5"/>
        <v>600153</v>
      </c>
      <c r="D113" s="8">
        <v>55</v>
      </c>
      <c r="E113" s="6">
        <f t="shared" si="6"/>
        <v>27.5</v>
      </c>
      <c r="F113" s="4"/>
      <c r="G113" s="4"/>
      <c r="H113" s="4"/>
      <c r="I113" s="7">
        <v>27.5</v>
      </c>
      <c r="J113" s="4">
        <v>41</v>
      </c>
      <c r="K113" s="9" t="s">
        <v>11</v>
      </c>
    </row>
    <row r="114" spans="1:11" s="2" customFormat="1" ht="13.5">
      <c r="A114" s="10" t="str">
        <f>"陈桑田"</f>
        <v>陈桑田</v>
      </c>
      <c r="B114" s="10" t="str">
        <f>"6860406026011"</f>
        <v>6860406026011</v>
      </c>
      <c r="C114" s="10" t="str">
        <f t="shared" si="5"/>
        <v>600153</v>
      </c>
      <c r="D114" s="11">
        <v>54</v>
      </c>
      <c r="E114" s="12">
        <f t="shared" si="6"/>
        <v>27</v>
      </c>
      <c r="F114" s="13"/>
      <c r="G114" s="13"/>
      <c r="H114" s="4"/>
      <c r="I114" s="14">
        <v>27</v>
      </c>
      <c r="J114" s="9">
        <v>45</v>
      </c>
      <c r="K114" s="9" t="s">
        <v>11</v>
      </c>
    </row>
    <row r="115" spans="1:11" s="2" customFormat="1" ht="13.5">
      <c r="A115" s="10" t="str">
        <f>"郑欣"</f>
        <v>郑欣</v>
      </c>
      <c r="B115" s="10" t="str">
        <f>"6860406025927"</f>
        <v>6860406025927</v>
      </c>
      <c r="C115" s="10" t="str">
        <f t="shared" si="5"/>
        <v>600153</v>
      </c>
      <c r="D115" s="11">
        <v>53</v>
      </c>
      <c r="E115" s="12">
        <f t="shared" si="6"/>
        <v>26.5</v>
      </c>
      <c r="F115" s="13"/>
      <c r="G115" s="13"/>
      <c r="H115" s="4"/>
      <c r="I115" s="14">
        <v>26.5</v>
      </c>
      <c r="J115" s="9">
        <v>49</v>
      </c>
      <c r="K115" s="9" t="s">
        <v>11</v>
      </c>
    </row>
    <row r="116" spans="1:11" s="2" customFormat="1" ht="13.5">
      <c r="A116" s="5" t="str">
        <f>"罗淞予"</f>
        <v>罗淞予</v>
      </c>
      <c r="B116" s="5" t="str">
        <f>"6860406025830"</f>
        <v>6860406025830</v>
      </c>
      <c r="C116" s="5" t="str">
        <f>"600152"</f>
        <v>600152</v>
      </c>
      <c r="D116" s="8">
        <v>65</v>
      </c>
      <c r="E116" s="6">
        <f t="shared" si="6"/>
        <v>36.5</v>
      </c>
      <c r="F116" s="4"/>
      <c r="G116" s="4"/>
      <c r="H116" s="4">
        <v>8</v>
      </c>
      <c r="I116" s="7">
        <v>36.5</v>
      </c>
      <c r="J116" s="4">
        <v>1</v>
      </c>
      <c r="K116" s="9" t="s">
        <v>11</v>
      </c>
    </row>
    <row r="117" spans="1:11" s="2" customFormat="1" ht="13.5">
      <c r="A117" s="5" t="str">
        <f>"冉雨润"</f>
        <v>冉雨润</v>
      </c>
      <c r="B117" s="5" t="str">
        <f>"6860406025828"</f>
        <v>6860406025828</v>
      </c>
      <c r="C117" s="5" t="str">
        <f>"600152"</f>
        <v>600152</v>
      </c>
      <c r="D117" s="8">
        <v>68</v>
      </c>
      <c r="E117" s="6">
        <f t="shared" si="6"/>
        <v>34</v>
      </c>
      <c r="F117" s="4"/>
      <c r="G117" s="4"/>
      <c r="H117" s="4"/>
      <c r="I117" s="7">
        <v>34</v>
      </c>
      <c r="J117" s="4">
        <v>2</v>
      </c>
      <c r="K117" s="9" t="s">
        <v>11</v>
      </c>
    </row>
    <row r="118" spans="1:11" s="2" customFormat="1" ht="13.5">
      <c r="A118" s="5" t="str">
        <f>"谭博丹"</f>
        <v>谭博丹</v>
      </c>
      <c r="B118" s="5" t="str">
        <f>"6860406025906"</f>
        <v>6860406025906</v>
      </c>
      <c r="C118" s="5" t="str">
        <f>"600152"</f>
        <v>600152</v>
      </c>
      <c r="D118" s="8">
        <v>67</v>
      </c>
      <c r="E118" s="6">
        <f t="shared" si="6"/>
        <v>33.5</v>
      </c>
      <c r="F118" s="4"/>
      <c r="G118" s="4"/>
      <c r="H118" s="4"/>
      <c r="I118" s="7">
        <v>33.5</v>
      </c>
      <c r="J118" s="4">
        <v>3</v>
      </c>
      <c r="K118" s="9" t="s">
        <v>11</v>
      </c>
    </row>
    <row r="119" spans="1:11" s="2" customFormat="1" ht="13.5">
      <c r="A119" s="5" t="str">
        <f>"李影"</f>
        <v>李影</v>
      </c>
      <c r="B119" s="5" t="str">
        <f>"6860406026220"</f>
        <v>6860406026220</v>
      </c>
      <c r="C119" s="5" t="str">
        <f aca="true" t="shared" si="7" ref="C119:C146">"600154"</f>
        <v>600154</v>
      </c>
      <c r="D119" s="8">
        <v>71</v>
      </c>
      <c r="E119" s="6">
        <f t="shared" si="6"/>
        <v>36.5</v>
      </c>
      <c r="F119" s="4"/>
      <c r="G119" s="4"/>
      <c r="H119" s="4">
        <v>2</v>
      </c>
      <c r="I119" s="7">
        <v>36.5</v>
      </c>
      <c r="J119" s="4">
        <v>1</v>
      </c>
      <c r="K119" s="9" t="s">
        <v>11</v>
      </c>
    </row>
    <row r="120" spans="1:11" s="2" customFormat="1" ht="13.5">
      <c r="A120" s="5" t="str">
        <f>"蒋雄"</f>
        <v>蒋雄</v>
      </c>
      <c r="B120" s="5" t="str">
        <f>"6860406026203"</f>
        <v>6860406026203</v>
      </c>
      <c r="C120" s="5" t="str">
        <f t="shared" si="7"/>
        <v>600154</v>
      </c>
      <c r="D120" s="8">
        <v>72</v>
      </c>
      <c r="E120" s="6">
        <f t="shared" si="6"/>
        <v>36</v>
      </c>
      <c r="F120" s="4"/>
      <c r="G120" s="4"/>
      <c r="H120" s="4"/>
      <c r="I120" s="7">
        <v>36</v>
      </c>
      <c r="J120" s="4">
        <v>2</v>
      </c>
      <c r="K120" s="9" t="s">
        <v>11</v>
      </c>
    </row>
    <row r="121" spans="1:11" s="2" customFormat="1" ht="13.5">
      <c r="A121" s="5" t="str">
        <f>"谢清海"</f>
        <v>谢清海</v>
      </c>
      <c r="B121" s="5" t="str">
        <f>"6860406026216"</f>
        <v>6860406026216</v>
      </c>
      <c r="C121" s="5" t="str">
        <f t="shared" si="7"/>
        <v>600154</v>
      </c>
      <c r="D121" s="8">
        <v>68</v>
      </c>
      <c r="E121" s="6">
        <f t="shared" si="6"/>
        <v>34</v>
      </c>
      <c r="F121" s="4"/>
      <c r="G121" s="4"/>
      <c r="H121" s="4"/>
      <c r="I121" s="7">
        <v>34</v>
      </c>
      <c r="J121" s="4">
        <v>3</v>
      </c>
      <c r="K121" s="9" t="s">
        <v>11</v>
      </c>
    </row>
    <row r="122" spans="1:11" s="2" customFormat="1" ht="13.5">
      <c r="A122" s="5" t="str">
        <f>"唐豪"</f>
        <v>唐豪</v>
      </c>
      <c r="B122" s="5" t="str">
        <f>"6860406026214"</f>
        <v>6860406026214</v>
      </c>
      <c r="C122" s="5" t="str">
        <f t="shared" si="7"/>
        <v>600154</v>
      </c>
      <c r="D122" s="8">
        <v>67</v>
      </c>
      <c r="E122" s="6">
        <f t="shared" si="6"/>
        <v>33.5</v>
      </c>
      <c r="F122" s="4"/>
      <c r="G122" s="4"/>
      <c r="H122" s="4"/>
      <c r="I122" s="7">
        <v>33.5</v>
      </c>
      <c r="J122" s="4">
        <v>5</v>
      </c>
      <c r="K122" s="9" t="s">
        <v>11</v>
      </c>
    </row>
    <row r="123" spans="1:11" s="2" customFormat="1" ht="13.5">
      <c r="A123" s="5" t="str">
        <f>"郑秋"</f>
        <v>郑秋</v>
      </c>
      <c r="B123" s="5" t="str">
        <f>"6860406026227"</f>
        <v>6860406026227</v>
      </c>
      <c r="C123" s="5" t="str">
        <f t="shared" si="7"/>
        <v>600154</v>
      </c>
      <c r="D123" s="8">
        <v>65</v>
      </c>
      <c r="E123" s="6">
        <f t="shared" si="6"/>
        <v>32.5</v>
      </c>
      <c r="F123" s="4"/>
      <c r="G123" s="4"/>
      <c r="H123" s="4"/>
      <c r="I123" s="7">
        <v>32.5</v>
      </c>
      <c r="J123" s="4">
        <v>6</v>
      </c>
      <c r="K123" s="9" t="s">
        <v>11</v>
      </c>
    </row>
    <row r="124" spans="1:11" s="2" customFormat="1" ht="13.5">
      <c r="A124" s="5" t="str">
        <f>"印文平"</f>
        <v>印文平</v>
      </c>
      <c r="B124" s="5" t="str">
        <f>"6860406026228"</f>
        <v>6860406026228</v>
      </c>
      <c r="C124" s="5" t="str">
        <f t="shared" si="7"/>
        <v>600154</v>
      </c>
      <c r="D124" s="8">
        <v>65</v>
      </c>
      <c r="E124" s="6">
        <f t="shared" si="6"/>
        <v>32.5</v>
      </c>
      <c r="F124" s="4"/>
      <c r="G124" s="4"/>
      <c r="H124" s="4"/>
      <c r="I124" s="7">
        <v>32.5</v>
      </c>
      <c r="J124" s="4">
        <v>6</v>
      </c>
      <c r="K124" s="9" t="s">
        <v>11</v>
      </c>
    </row>
    <row r="125" spans="1:11" s="2" customFormat="1" ht="13.5">
      <c r="A125" s="5" t="str">
        <f>"王荣"</f>
        <v>王荣</v>
      </c>
      <c r="B125" s="5" t="str">
        <f>"6860406026229"</f>
        <v>6860406026229</v>
      </c>
      <c r="C125" s="5" t="str">
        <f t="shared" si="7"/>
        <v>600154</v>
      </c>
      <c r="D125" s="8">
        <v>65</v>
      </c>
      <c r="E125" s="6">
        <f t="shared" si="6"/>
        <v>32.5</v>
      </c>
      <c r="F125" s="4"/>
      <c r="G125" s="4"/>
      <c r="H125" s="4"/>
      <c r="I125" s="7">
        <v>32.5</v>
      </c>
      <c r="J125" s="4">
        <v>6</v>
      </c>
      <c r="K125" s="9" t="s">
        <v>11</v>
      </c>
    </row>
    <row r="126" spans="1:11" s="2" customFormat="1" ht="13.5">
      <c r="A126" s="5" t="str">
        <f>"崔胜兵"</f>
        <v>崔胜兵</v>
      </c>
      <c r="B126" s="5" t="str">
        <f>"6860406026128"</f>
        <v>6860406026128</v>
      </c>
      <c r="C126" s="5" t="str">
        <f t="shared" si="7"/>
        <v>600154</v>
      </c>
      <c r="D126" s="8">
        <v>64</v>
      </c>
      <c r="E126" s="6">
        <f t="shared" si="6"/>
        <v>32</v>
      </c>
      <c r="F126" s="4"/>
      <c r="G126" s="4"/>
      <c r="H126" s="4"/>
      <c r="I126" s="7">
        <v>32</v>
      </c>
      <c r="J126" s="4">
        <v>9</v>
      </c>
      <c r="K126" s="9" t="s">
        <v>11</v>
      </c>
    </row>
    <row r="127" spans="1:11" s="2" customFormat="1" ht="13.5">
      <c r="A127" s="5" t="str">
        <f>"袁康栗"</f>
        <v>袁康栗</v>
      </c>
      <c r="B127" s="5" t="str">
        <f>"6860406026207"</f>
        <v>6860406026207</v>
      </c>
      <c r="C127" s="5" t="str">
        <f t="shared" si="7"/>
        <v>600154</v>
      </c>
      <c r="D127" s="8">
        <v>63</v>
      </c>
      <c r="E127" s="6">
        <f t="shared" si="6"/>
        <v>31.5</v>
      </c>
      <c r="F127" s="4"/>
      <c r="G127" s="4"/>
      <c r="H127" s="4"/>
      <c r="I127" s="7">
        <v>31.5</v>
      </c>
      <c r="J127" s="4">
        <v>10</v>
      </c>
      <c r="K127" s="9" t="s">
        <v>11</v>
      </c>
    </row>
    <row r="128" spans="1:11" s="2" customFormat="1" ht="13.5">
      <c r="A128" s="5" t="str">
        <f>"陈语乔"</f>
        <v>陈语乔</v>
      </c>
      <c r="B128" s="5" t="str">
        <f>"6860406026215"</f>
        <v>6860406026215</v>
      </c>
      <c r="C128" s="5" t="str">
        <f t="shared" si="7"/>
        <v>600154</v>
      </c>
      <c r="D128" s="8">
        <v>62</v>
      </c>
      <c r="E128" s="6">
        <f t="shared" si="6"/>
        <v>31</v>
      </c>
      <c r="F128" s="4"/>
      <c r="G128" s="4"/>
      <c r="H128" s="4"/>
      <c r="I128" s="7">
        <v>31</v>
      </c>
      <c r="J128" s="4">
        <v>11</v>
      </c>
      <c r="K128" s="9" t="s">
        <v>11</v>
      </c>
    </row>
    <row r="129" spans="1:11" s="2" customFormat="1" ht="13.5">
      <c r="A129" s="5" t="str">
        <f>"王晓莉"</f>
        <v>王晓莉</v>
      </c>
      <c r="B129" s="5" t="str">
        <f>"6860406026301"</f>
        <v>6860406026301</v>
      </c>
      <c r="C129" s="5" t="str">
        <f t="shared" si="7"/>
        <v>600154</v>
      </c>
      <c r="D129" s="8">
        <v>62</v>
      </c>
      <c r="E129" s="6">
        <f t="shared" si="6"/>
        <v>31</v>
      </c>
      <c r="F129" s="4"/>
      <c r="G129" s="4"/>
      <c r="H129" s="4"/>
      <c r="I129" s="7">
        <v>31</v>
      </c>
      <c r="J129" s="4">
        <v>11</v>
      </c>
      <c r="K129" s="9" t="s">
        <v>11</v>
      </c>
    </row>
    <row r="130" spans="1:11" s="2" customFormat="1" ht="13.5">
      <c r="A130" s="5" t="str">
        <f>"肖海波"</f>
        <v>肖海波</v>
      </c>
      <c r="B130" s="5" t="str">
        <f>"6860406026130"</f>
        <v>6860406026130</v>
      </c>
      <c r="C130" s="5" t="str">
        <f t="shared" si="7"/>
        <v>600154</v>
      </c>
      <c r="D130" s="8">
        <v>61</v>
      </c>
      <c r="E130" s="6">
        <f t="shared" si="6"/>
        <v>30.5</v>
      </c>
      <c r="F130" s="4"/>
      <c r="G130" s="4"/>
      <c r="H130" s="4"/>
      <c r="I130" s="7">
        <v>30.5</v>
      </c>
      <c r="J130" s="4">
        <v>13</v>
      </c>
      <c r="K130" s="9" t="s">
        <v>11</v>
      </c>
    </row>
    <row r="131" spans="1:11" s="2" customFormat="1" ht="13.5">
      <c r="A131" s="5" t="str">
        <f>"吴雪琴"</f>
        <v>吴雪琴</v>
      </c>
      <c r="B131" s="5" t="str">
        <f>"6860406026204"</f>
        <v>6860406026204</v>
      </c>
      <c r="C131" s="5" t="str">
        <f t="shared" si="7"/>
        <v>600154</v>
      </c>
      <c r="D131" s="8">
        <v>58</v>
      </c>
      <c r="E131" s="6">
        <f t="shared" si="6"/>
        <v>29</v>
      </c>
      <c r="F131" s="4"/>
      <c r="G131" s="4"/>
      <c r="H131" s="4"/>
      <c r="I131" s="7">
        <v>29</v>
      </c>
      <c r="J131" s="4">
        <v>14</v>
      </c>
      <c r="K131" s="9" t="s">
        <v>11</v>
      </c>
    </row>
    <row r="132" spans="1:11" s="2" customFormat="1" ht="13.5">
      <c r="A132" s="5" t="str">
        <f>"陈果"</f>
        <v>陈果</v>
      </c>
      <c r="B132" s="5" t="str">
        <f>"6860406026210"</f>
        <v>6860406026210</v>
      </c>
      <c r="C132" s="5" t="str">
        <f t="shared" si="7"/>
        <v>600154</v>
      </c>
      <c r="D132" s="8">
        <v>58</v>
      </c>
      <c r="E132" s="6">
        <f aca="true" t="shared" si="8" ref="E132:E150">(D132+H132)*0.5</f>
        <v>29</v>
      </c>
      <c r="F132" s="4"/>
      <c r="G132" s="4"/>
      <c r="H132" s="4"/>
      <c r="I132" s="7">
        <v>29</v>
      </c>
      <c r="J132" s="4">
        <v>14</v>
      </c>
      <c r="K132" s="9" t="s">
        <v>11</v>
      </c>
    </row>
    <row r="133" spans="1:11" s="2" customFormat="1" ht="13.5">
      <c r="A133" s="5" t="str">
        <f>"李双江"</f>
        <v>李双江</v>
      </c>
      <c r="B133" s="5" t="str">
        <f>"6860406026221"</f>
        <v>6860406026221</v>
      </c>
      <c r="C133" s="5" t="str">
        <f t="shared" si="7"/>
        <v>600154</v>
      </c>
      <c r="D133" s="8">
        <v>58</v>
      </c>
      <c r="E133" s="6">
        <f t="shared" si="8"/>
        <v>29</v>
      </c>
      <c r="F133" s="4"/>
      <c r="G133" s="4"/>
      <c r="H133" s="4"/>
      <c r="I133" s="7">
        <v>29</v>
      </c>
      <c r="J133" s="4">
        <v>14</v>
      </c>
      <c r="K133" s="9" t="s">
        <v>11</v>
      </c>
    </row>
    <row r="134" spans="1:11" s="2" customFormat="1" ht="13.5">
      <c r="A134" s="5" t="str">
        <f>"李江桥"</f>
        <v>李江桥</v>
      </c>
      <c r="B134" s="5" t="str">
        <f>"6860406026305"</f>
        <v>6860406026305</v>
      </c>
      <c r="C134" s="5" t="str">
        <f t="shared" si="7"/>
        <v>600154</v>
      </c>
      <c r="D134" s="8">
        <v>58</v>
      </c>
      <c r="E134" s="6">
        <f t="shared" si="8"/>
        <v>29</v>
      </c>
      <c r="F134" s="4"/>
      <c r="G134" s="4"/>
      <c r="H134" s="4"/>
      <c r="I134" s="7">
        <v>29</v>
      </c>
      <c r="J134" s="4">
        <v>14</v>
      </c>
      <c r="K134" s="9" t="s">
        <v>11</v>
      </c>
    </row>
    <row r="135" spans="1:11" s="2" customFormat="1" ht="13.5">
      <c r="A135" s="5" t="str">
        <f>"邬靓"</f>
        <v>邬靓</v>
      </c>
      <c r="B135" s="5" t="str">
        <f>"6860406026224"</f>
        <v>6860406026224</v>
      </c>
      <c r="C135" s="5" t="str">
        <f t="shared" si="7"/>
        <v>600154</v>
      </c>
      <c r="D135" s="8">
        <v>57</v>
      </c>
      <c r="E135" s="6">
        <f t="shared" si="8"/>
        <v>28.5</v>
      </c>
      <c r="F135" s="4"/>
      <c r="G135" s="4"/>
      <c r="H135" s="4"/>
      <c r="I135" s="7">
        <v>28.5</v>
      </c>
      <c r="J135" s="4">
        <v>18</v>
      </c>
      <c r="K135" s="9" t="s">
        <v>11</v>
      </c>
    </row>
    <row r="136" spans="1:11" s="2" customFormat="1" ht="13.5">
      <c r="A136" s="5" t="str">
        <f>"陈庆美"</f>
        <v>陈庆美</v>
      </c>
      <c r="B136" s="5" t="str">
        <f>"6860406026125"</f>
        <v>6860406026125</v>
      </c>
      <c r="C136" s="5" t="str">
        <f t="shared" si="7"/>
        <v>600154</v>
      </c>
      <c r="D136" s="8">
        <v>56</v>
      </c>
      <c r="E136" s="6">
        <f t="shared" si="8"/>
        <v>28</v>
      </c>
      <c r="F136" s="4"/>
      <c r="G136" s="4"/>
      <c r="H136" s="4"/>
      <c r="I136" s="7">
        <v>28</v>
      </c>
      <c r="J136" s="4">
        <v>19</v>
      </c>
      <c r="K136" s="9" t="s">
        <v>11</v>
      </c>
    </row>
    <row r="137" spans="1:11" s="2" customFormat="1" ht="13.5">
      <c r="A137" s="5" t="str">
        <f>"金军臣"</f>
        <v>金军臣</v>
      </c>
      <c r="B137" s="5" t="str">
        <f>"6860406026201"</f>
        <v>6860406026201</v>
      </c>
      <c r="C137" s="5" t="str">
        <f t="shared" si="7"/>
        <v>600154</v>
      </c>
      <c r="D137" s="8">
        <v>56</v>
      </c>
      <c r="E137" s="6">
        <f t="shared" si="8"/>
        <v>28</v>
      </c>
      <c r="F137" s="4"/>
      <c r="G137" s="4"/>
      <c r="H137" s="4"/>
      <c r="I137" s="7">
        <v>28</v>
      </c>
      <c r="J137" s="4">
        <v>19</v>
      </c>
      <c r="K137" s="9" t="s">
        <v>11</v>
      </c>
    </row>
    <row r="138" spans="1:11" s="2" customFormat="1" ht="13.5">
      <c r="A138" s="5" t="str">
        <f>"黄贤斌"</f>
        <v>黄贤斌</v>
      </c>
      <c r="B138" s="5" t="str">
        <f>"6860406026226"</f>
        <v>6860406026226</v>
      </c>
      <c r="C138" s="5" t="str">
        <f t="shared" si="7"/>
        <v>600154</v>
      </c>
      <c r="D138" s="8">
        <v>56</v>
      </c>
      <c r="E138" s="6">
        <f t="shared" si="8"/>
        <v>28</v>
      </c>
      <c r="F138" s="4"/>
      <c r="G138" s="4"/>
      <c r="H138" s="4"/>
      <c r="I138" s="7">
        <v>28</v>
      </c>
      <c r="J138" s="4">
        <v>19</v>
      </c>
      <c r="K138" s="9" t="s">
        <v>11</v>
      </c>
    </row>
    <row r="139" spans="1:11" s="2" customFormat="1" ht="13.5">
      <c r="A139" s="5" t="str">
        <f>"胡月"</f>
        <v>胡月</v>
      </c>
      <c r="B139" s="5" t="str">
        <f>"6860406026302"</f>
        <v>6860406026302</v>
      </c>
      <c r="C139" s="5" t="str">
        <f t="shared" si="7"/>
        <v>600154</v>
      </c>
      <c r="D139" s="8">
        <v>56</v>
      </c>
      <c r="E139" s="6">
        <f t="shared" si="8"/>
        <v>28</v>
      </c>
      <c r="F139" s="4"/>
      <c r="G139" s="4"/>
      <c r="H139" s="4"/>
      <c r="I139" s="7">
        <v>28</v>
      </c>
      <c r="J139" s="4">
        <v>19</v>
      </c>
      <c r="K139" s="9" t="s">
        <v>11</v>
      </c>
    </row>
    <row r="140" spans="1:11" s="2" customFormat="1" ht="13.5">
      <c r="A140" s="5" t="str">
        <f>"杨春"</f>
        <v>杨春</v>
      </c>
      <c r="B140" s="5" t="str">
        <f>"6860406026211"</f>
        <v>6860406026211</v>
      </c>
      <c r="C140" s="5" t="str">
        <f t="shared" si="7"/>
        <v>600154</v>
      </c>
      <c r="D140" s="8">
        <v>55</v>
      </c>
      <c r="E140" s="6">
        <f t="shared" si="8"/>
        <v>27.5</v>
      </c>
      <c r="F140" s="4"/>
      <c r="G140" s="4"/>
      <c r="H140" s="4"/>
      <c r="I140" s="7">
        <v>27.5</v>
      </c>
      <c r="J140" s="4">
        <v>23</v>
      </c>
      <c r="K140" s="9" t="s">
        <v>11</v>
      </c>
    </row>
    <row r="141" spans="1:11" s="2" customFormat="1" ht="13.5">
      <c r="A141" s="5" t="str">
        <f>"刘波"</f>
        <v>刘波</v>
      </c>
      <c r="B141" s="5" t="str">
        <f>"6860406026217"</f>
        <v>6860406026217</v>
      </c>
      <c r="C141" s="5" t="str">
        <f t="shared" si="7"/>
        <v>600154</v>
      </c>
      <c r="D141" s="8">
        <v>55</v>
      </c>
      <c r="E141" s="6">
        <f t="shared" si="8"/>
        <v>27.5</v>
      </c>
      <c r="F141" s="4"/>
      <c r="G141" s="4"/>
      <c r="H141" s="4"/>
      <c r="I141" s="7">
        <v>27.5</v>
      </c>
      <c r="J141" s="4">
        <v>23</v>
      </c>
      <c r="K141" s="9" t="s">
        <v>11</v>
      </c>
    </row>
    <row r="142" spans="1:11" s="2" customFormat="1" ht="13.5">
      <c r="A142" s="5" t="str">
        <f>"何昌海"</f>
        <v>何昌海</v>
      </c>
      <c r="B142" s="5" t="str">
        <f>"6860406026122"</f>
        <v>6860406026122</v>
      </c>
      <c r="C142" s="5" t="str">
        <f t="shared" si="7"/>
        <v>600154</v>
      </c>
      <c r="D142" s="8">
        <v>54</v>
      </c>
      <c r="E142" s="6">
        <f t="shared" si="8"/>
        <v>27</v>
      </c>
      <c r="F142" s="4"/>
      <c r="G142" s="4"/>
      <c r="H142" s="4"/>
      <c r="I142" s="7">
        <v>27</v>
      </c>
      <c r="J142" s="4">
        <v>25</v>
      </c>
      <c r="K142" s="9" t="s">
        <v>11</v>
      </c>
    </row>
    <row r="143" spans="1:11" s="2" customFormat="1" ht="13.5">
      <c r="A143" s="5" t="str">
        <f>"谭朋"</f>
        <v>谭朋</v>
      </c>
      <c r="B143" s="5" t="str">
        <f>"6860406026208"</f>
        <v>6860406026208</v>
      </c>
      <c r="C143" s="5" t="str">
        <f t="shared" si="7"/>
        <v>600154</v>
      </c>
      <c r="D143" s="8">
        <v>53</v>
      </c>
      <c r="E143" s="6">
        <f t="shared" si="8"/>
        <v>26.5</v>
      </c>
      <c r="F143" s="4"/>
      <c r="G143" s="4"/>
      <c r="H143" s="4"/>
      <c r="I143" s="7">
        <v>26.5</v>
      </c>
      <c r="J143" s="4">
        <v>26</v>
      </c>
      <c r="K143" s="9" t="s">
        <v>11</v>
      </c>
    </row>
    <row r="144" spans="1:11" s="2" customFormat="1" ht="13.5">
      <c r="A144" s="5" t="str">
        <f>"曾青泉"</f>
        <v>曾青泉</v>
      </c>
      <c r="B144" s="5" t="str">
        <f>"6860406026123"</f>
        <v>6860406026123</v>
      </c>
      <c r="C144" s="5" t="str">
        <f t="shared" si="7"/>
        <v>600154</v>
      </c>
      <c r="D144" s="8">
        <v>50</v>
      </c>
      <c r="E144" s="6">
        <f t="shared" si="8"/>
        <v>25</v>
      </c>
      <c r="F144" s="4"/>
      <c r="G144" s="4"/>
      <c r="H144" s="4"/>
      <c r="I144" s="7">
        <v>25</v>
      </c>
      <c r="J144" s="4">
        <v>29</v>
      </c>
      <c r="K144" s="9" t="s">
        <v>11</v>
      </c>
    </row>
    <row r="145" spans="1:11" s="2" customFormat="1" ht="13.5">
      <c r="A145" s="10" t="str">
        <f>"钟薇薇"</f>
        <v>钟薇薇</v>
      </c>
      <c r="B145" s="10" t="str">
        <f>"6860406026126"</f>
        <v>6860406026126</v>
      </c>
      <c r="C145" s="10" t="str">
        <f t="shared" si="7"/>
        <v>600154</v>
      </c>
      <c r="D145" s="11">
        <v>49</v>
      </c>
      <c r="E145" s="12">
        <f t="shared" si="8"/>
        <v>24.5</v>
      </c>
      <c r="F145" s="13"/>
      <c r="G145" s="13"/>
      <c r="H145" s="4"/>
      <c r="I145" s="14">
        <v>24.5</v>
      </c>
      <c r="J145" s="9">
        <v>31</v>
      </c>
      <c r="K145" s="9" t="s">
        <v>11</v>
      </c>
    </row>
    <row r="146" spans="1:11" s="2" customFormat="1" ht="13.5">
      <c r="A146" s="10" t="str">
        <f>"吴小川"</f>
        <v>吴小川</v>
      </c>
      <c r="B146" s="10" t="str">
        <f>"6860406026213"</f>
        <v>6860406026213</v>
      </c>
      <c r="C146" s="10" t="str">
        <f t="shared" si="7"/>
        <v>600154</v>
      </c>
      <c r="D146" s="11">
        <v>46</v>
      </c>
      <c r="E146" s="12">
        <f t="shared" si="8"/>
        <v>23</v>
      </c>
      <c r="F146" s="13"/>
      <c r="G146" s="13"/>
      <c r="H146" s="4"/>
      <c r="I146" s="14">
        <v>23</v>
      </c>
      <c r="J146" s="9">
        <v>33</v>
      </c>
      <c r="K146" s="9" t="s">
        <v>11</v>
      </c>
    </row>
    <row r="147" spans="1:11" s="2" customFormat="1" ht="13.5">
      <c r="A147" s="5" t="str">
        <f>"李佳成"</f>
        <v>李佳成</v>
      </c>
      <c r="B147" s="5" t="str">
        <f>"6860406026321"</f>
        <v>6860406026321</v>
      </c>
      <c r="C147" s="5" t="str">
        <f>"600155"</f>
        <v>600155</v>
      </c>
      <c r="D147" s="8">
        <v>65</v>
      </c>
      <c r="E147" s="6">
        <f t="shared" si="8"/>
        <v>32.5</v>
      </c>
      <c r="F147" s="4"/>
      <c r="G147" s="4"/>
      <c r="H147" s="4"/>
      <c r="I147" s="7">
        <v>32.5</v>
      </c>
      <c r="J147" s="4">
        <v>2</v>
      </c>
      <c r="K147" s="9" t="s">
        <v>11</v>
      </c>
    </row>
    <row r="148" spans="1:11" s="2" customFormat="1" ht="13.5">
      <c r="A148" s="5" t="str">
        <f>"张雨琪"</f>
        <v>张雨琪</v>
      </c>
      <c r="B148" s="5" t="str">
        <f>"6860406026510"</f>
        <v>6860406026510</v>
      </c>
      <c r="C148" s="5" t="str">
        <f>"600155"</f>
        <v>600155</v>
      </c>
      <c r="D148" s="8">
        <v>65</v>
      </c>
      <c r="E148" s="6">
        <f t="shared" si="8"/>
        <v>32.5</v>
      </c>
      <c r="F148" s="4"/>
      <c r="G148" s="4"/>
      <c r="H148" s="4"/>
      <c r="I148" s="7">
        <v>32.5</v>
      </c>
      <c r="J148" s="4">
        <v>2</v>
      </c>
      <c r="K148" s="9" t="s">
        <v>11</v>
      </c>
    </row>
    <row r="149" spans="1:11" s="2" customFormat="1" ht="13.5">
      <c r="A149" s="5" t="str">
        <f>"李犁"</f>
        <v>李犁</v>
      </c>
      <c r="B149" s="5" t="str">
        <f>"6860406030104"</f>
        <v>6860406030104</v>
      </c>
      <c r="C149" s="5" t="str">
        <f>"600155"</f>
        <v>600155</v>
      </c>
      <c r="D149" s="8">
        <v>65</v>
      </c>
      <c r="E149" s="6">
        <f t="shared" si="8"/>
        <v>32.5</v>
      </c>
      <c r="F149" s="4"/>
      <c r="G149" s="4"/>
      <c r="H149" s="4"/>
      <c r="I149" s="7">
        <v>32.5</v>
      </c>
      <c r="J149" s="4">
        <v>2</v>
      </c>
      <c r="K149" s="9" t="s">
        <v>11</v>
      </c>
    </row>
    <row r="150" spans="1:11" s="2" customFormat="1" ht="13.5">
      <c r="A150" s="5" t="str">
        <f>"张雪梅"</f>
        <v>张雪梅</v>
      </c>
      <c r="B150" s="5" t="str">
        <f>"6860406030311"</f>
        <v>6860406030311</v>
      </c>
      <c r="C150" s="5" t="str">
        <f>"600155"</f>
        <v>600155</v>
      </c>
      <c r="D150" s="8">
        <v>65</v>
      </c>
      <c r="E150" s="6">
        <f t="shared" si="8"/>
        <v>32.5</v>
      </c>
      <c r="F150" s="4"/>
      <c r="G150" s="4"/>
      <c r="H150" s="4"/>
      <c r="I150" s="7">
        <v>32.5</v>
      </c>
      <c r="J150" s="4">
        <v>2</v>
      </c>
      <c r="K150" s="9" t="s">
        <v>11</v>
      </c>
    </row>
  </sheetData>
  <sheetProtection/>
  <mergeCells count="2">
    <mergeCell ref="A2:K2"/>
    <mergeCell ref="A1:K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2016-07-15T03:27:11Z</cp:lastPrinted>
  <dcterms:created xsi:type="dcterms:W3CDTF">2006-09-16T00:00:00Z</dcterms:created>
  <dcterms:modified xsi:type="dcterms:W3CDTF">2016-07-15T08:43:29Z</dcterms:modified>
  <cp:category/>
  <cp:version/>
  <cp:contentType/>
  <cp:contentStatus/>
</cp:coreProperties>
</file>